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xeU6DqxUP3r6/zOD7erwdJtWn8Bi/0KzP1EdlnkZ5qwQF5dT4Ocne3Vzd2OviPNJSCVf+n/iknq6tu+i0nltJQ==" workbookSaltValue="lvVL7CAkqhVKgkgMxpX+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L17" i="11"/>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B18" i="7" l="1"/>
  <c r="S19" i="8"/>
  <c r="C12" i="14"/>
  <c r="K12" i="14" s="1"/>
  <c r="AB13" i="2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5" i="14"/>
  <c r="V15"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<sst xmlns="http://schemas.openxmlformats.org/spreadsheetml/2006/main" count="2102" uniqueCount="918">
  <si>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</si>
  <si>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</si>
  <si>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</si>
  <si>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</si>
  <si>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</si>
  <si>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</si>
  <si>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</si>
  <si>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</si>
  <si>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</si>
  <si>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</si>
  <si>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</si>
  <si>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</si>
  <si>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</si>
  <si>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</si>
  <si>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</si>
  <si>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</si>
  <si>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</si>
  <si>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</si>
  <si>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</si>
  <si>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</si>
  <si>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</si>
  <si>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</si>
  <si>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</si>
  <si>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</si>
  <si>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</si>
  <si>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</si>
  <si>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</si>
  <si>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</si>
  <si>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</si>
  <si>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</si>
  <si>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</si>
  <si>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</si>
  <si>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</si>
  <si>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</si>
  <si>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</si>
  <si>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</si>
  <si>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</si>
  <si>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</si>
  <si>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</si>
  <si>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</si>
  <si>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</si>
  <si>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</si>
  <si>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</si>
  <si>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</si>
  <si>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</si>
  <si>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</si>
  <si>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</si>
  <si>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</si>
  <si>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</si>
  <si>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</si>
  <si>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</si>
  <si>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</si>
  <si>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</si>
  <si>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</si>
  <si>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</si>
  <si>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</si>
  <si>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</si>
  <si>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</si>
  <si>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</si>
  <si>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</si>
  <si>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</si>
  <si>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</si>
  <si>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</si>
  <si>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</si>
  <si>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</si>
  <si>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</si>
  <si>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</si>
  <si>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</si>
  <si>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</si>
  <si>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</si>
  <si>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</si>
  <si>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</si>
  <si>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</si>
  <si>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</si>
  <si>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</si>
  <si>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</si>
  <si>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</si>
  <si>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</si>
  <si>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</si>
  <si>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</si>
  <si>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</si>
  <si>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</si>
  <si>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</si>
  <si>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</si>
  <si>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</si>
  <si>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</si>
  <si>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</si>
  <si>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</si>
  <si>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</si>
  <si>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</si>
  <si>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</si>
  <si>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</si>
  <si>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</si>
  <si>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</si>
  <si>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</si>
  <si>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</si>
  <si>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</si>
  <si>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</si>
  <si>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</si>
  <si>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</si>
  <si>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</si>
  <si>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</si>
  <si>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</si>
  <si>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</si>
  <si>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</si>
  <si>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</si>
  <si>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</si>
  <si>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</si>
  <si>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</si>
  <si>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</si>
  <si>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</si>
  <si>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</si>
  <si>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</si>
  <si>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</si>
  <si>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</si>
  <si>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</si>
  <si>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</si>
  <si>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</si>
  <si>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</si>
  <si>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</si>
  <si>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</si>
  <si>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</si>
  <si>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</si>
  <si>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</si>
  <si>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</si>
  <si>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</si>
  <si>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</si>
  <si>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</si>
  <si>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</si>
  <si>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</si>
  <si>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</si>
  <si>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</si>
  <si>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</si>
  <si>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</si>
  <si>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</si>
  <si>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</si>
  <si>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</si>
  <si>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</si>
  <si>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</si>
  <si>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</si>
  <si>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</si>
  <si>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</si>
  <si>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</si>
  <si>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</si>
  <si>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</si>
  <si>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</si>
  <si>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</si>
  <si>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</si>
  <si>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</si>
  <si>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</si>
  <si>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</si>
  <si>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</si>
  <si>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</si>
  <si>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</si>
  <si>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</si>
  <si>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</si>
  <si>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</si>
  <si>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</si>
  <si>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</si>
  <si>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</si>
  <si>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</si>
  <si>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</si>
  <si>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</si>
  <si>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</si>
  <si>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</si>
  <si>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</si>
  <si>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</si>
  <si>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</si>
  <si>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</si>
  <si>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</si>
  <si>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</si>
  <si>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</si>
  <si>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</si>
  <si>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</si>
  <si>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</si>
  <si>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</si>
  <si>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</si>
  <si>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</si>
  <si>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</si>
  <si>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</si>
  <si>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</si>
  <si>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</si>
  <si>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</si>
  <si>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</si>
  <si>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</si>
  <si>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</si>
  <si>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</si>
  <si>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</si>
  <si>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</si>
  <si>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</si>
  <si>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</si>
  <si>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</si>
  <si>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</si>
  <si>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</si>
  <si>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</si>
  <si>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</si>
  <si>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</si>
  <si>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</si>
  <si>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</si>
  <si>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</si>
  <si>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</si>
  <si>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</si>
  <si>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</si>
  <si>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</si>
  <si>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</si>
  <si>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</si>
  <si>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</si>
  <si>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</si>
  <si>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</si>
  <si>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</si>
  <si>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</si>
  <si>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</si>
  <si>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</si>
  <si>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</si>
  <si>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</si>
  <si>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</si>
  <si>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</si>
  <si>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</si>
  <si>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</si>
  <si>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</si>
  <si>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</si>
  <si>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</si>
  <si>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</si>
  <si>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</si>
  <si>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</si>
  <si>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</si>
  <si>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</si>
  <si>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</si>
  <si>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</si>
  <si>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</si>
  <si>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</si>
  <si>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</si>
  <si>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</si>
  <si>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</si>
  <si>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</si>
  <si>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</si>
  <si>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</si>
  <si>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</si>
  <si>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</si>
  <si>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</si>
  <si>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</si>
  <si>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</si>
  <si>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</si>
  <si>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</si>
  <si>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</si>
  <si>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</si>
  <si>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</si>
  <si>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</si>
  <si>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</si>
  <si>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</si>
  <si>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</si>
  <si>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</si>
  <si>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</si>
  <si>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</si>
  <si>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</si>
  <si>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</si>
  <si>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</si>
  <si>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</si>
  <si>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</si>
  <si>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</si>
  <si>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</si>
  <si>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</si>
  <si>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</si>
  <si>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</si>
  <si>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</si>
  <si>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</si>
  <si>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</si>
  <si>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</si>
  <si>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</si>
  <si>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</si>
  <si>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</si>
  <si>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</si>
  <si>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</si>
  <si>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</si>
  <si>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</si>
  <si>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</si>
  <si>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</si>
  <si>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</si>
  <si>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</si>
  <si>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</si>
  <si>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</si>
  <si>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</si>
  <si>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</si>
  <si>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</si>
  <si>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</si>
  <si>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</si>
  <si>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</si>
  <si>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</si>
  <si>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</si>
  <si>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</si>
  <si>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</si>
  <si>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</si>
  <si>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</si>
  <si>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</si>
  <si>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</si>
  <si>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</si>
  <si>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</si>
  <si>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</si>
  <si>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</si>
  <si>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</si>
  <si>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</si>
  <si>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</si>
  <si>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</si>
  <si>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</si>
  <si>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</si>
  <si>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</si>
  <si>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</si>
  <si>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</si>
  <si>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</si>
  <si>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</si>
  <si>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</si>
  <si>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</si>
  <si>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</si>
  <si>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</si>
  <si>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</si>
  <si>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</si>
  <si>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</si>
  <si>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</si>
  <si>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</si>
  <si>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</si>
  <si>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</si>
  <si>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</si>
  <si>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</si>
  <si>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</si>
  <si>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</si>
  <si>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</si>
  <si>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</si>
  <si>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</si>
  <si>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</si>
  <si>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</si>
  <si>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</si>
  <si>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</si>
  <si>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</si>
  <si>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</si>
  <si>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</si>
  <si>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</si>
  <si>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</si>
  <si>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</si>
  <si>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</si>
  <si>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</si>
  <si>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</si>
  <si>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</si>
  <si>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</si>
  <si>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</si>
  <si>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</si>
  <si>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</si>
  <si>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</si>
  <si>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</si>
  <si>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</si>
  <si>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</si>
  <si>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</si>
  <si>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</si>
  <si>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</si>
  <si>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</si>
  <si>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</si>
  <si>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</si>
  <si>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</si>
  <si>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</si>
  <si>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</si>
  <si>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</si>
  <si>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</si>
  <si>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</si>
  <si>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</si>
  <si>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</si>
  <si>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</si>
  <si>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</si>
  <si>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</si>
  <si>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</si>
  <si>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</si>
  <si>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</si>
  <si>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</si>
  <si>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</si>
  <si>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</si>
  <si>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</si>
  <si>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</si>
  <si>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</si>
  <si>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</si>
  <si>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</si>
  <si>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</si>
  <si>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</si>
  <si>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</si>
  <si>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</si>
  <si>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</si>
  <si>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</si>
  <si>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</si>
  <si>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</si>
  <si>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</si>
  <si>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</si>
  <si>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</si>
  <si>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</si>
  <si>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</si>
  <si>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</si>
  <si>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</si>
  <si>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</si>
  <si>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</si>
  <si>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</si>
  <si>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</si>
  <si>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</si>
  <si>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</si>
  <si>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</si>
  <si>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</si>
  <si>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</si>
  <si>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</si>
  <si>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</si>
  <si>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</si>
  <si>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</si>
  <si>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</si>
  <si>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</si>
  <si>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</si>
  <si>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</si>
  <si>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</si>
  <si>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</si>
  <si>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</si>
  <si>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</si>
  <si>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</si>
  <si>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</si>
  <si>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</si>
  <si>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</si>
  <si>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</si>
  <si>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</si>
  <si>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</si>
  <si>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</si>
  <si>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</si>
  <si>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</si>
  <si>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</si>
  <si>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</si>
  <si>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</si>
  <si>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</si>
  <si>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</si>
  <si>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</si>
  <si>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</si>
  <si>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</si>
  <si>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</si>
  <si>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</si>
  <si>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</si>
  <si>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</si>
  <si>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</si>
  <si>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</si>
  <si>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</si>
  <si>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</si>
  <si>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</si>
  <si>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</si>
  <si>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</si>
  <si>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</si>
  <si>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</si>
  <si>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</si>
  <si>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</si>
  <si>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</si>
  <si>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</si>
  <si>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</si>
  <si>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</si>
  <si>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</si>
  <si>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</si>
  <si>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</si>
  <si>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</si>
  <si>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</si>
  <si>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</si>
  <si>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</si>
  <si>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</si>
  <si>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</si>
  <si>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</si>
  <si>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</si>
  <si>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</si>
  <si>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</si>
  <si>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</si>
  <si>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</si>
  <si>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</si>
  <si>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</si>
  <si>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</si>
  <si>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</si>
  <si>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</si>
  <si>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</si>
  <si>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</si>
  <si>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</si>
  <si>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</si>
  <si>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</si>
  <si>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</si>
  <si>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</si>
  <si>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</si>
  <si>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</si>
  <si>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</si>
  <si>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</si>
  <si>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</si>
  <si>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</si>
  <si>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</si>
  <si>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</si>
  <si>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</si>
  <si>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</si>
  <si>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</si>
  <si>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</si>
  <si>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</si>
  <si>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</si>
  <si>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</si>
  <si>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</si>
  <si>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</si>
  <si>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</si>
  <si>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</si>
  <si>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</si>
  <si>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</si>
  <si>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</si>
  <si>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</si>
  <si>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</si>
  <si>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</si>
  <si>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</si>
  <si>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</si>
  <si>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</si>
  <si>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</si>
  <si>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</si>
  <si>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</si>
  <si>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</si>
  <si>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</si>
  <si>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</si>
  <si>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</si>
  <si>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</si>
  <si>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</si>
  <si>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</si>
  <si>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</si>
  <si>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</si>
  <si>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</si>
  <si>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</si>
  <si>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</si>
  <si>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</si>
  <si>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</si>
  <si>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</si>
  <si>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</si>
  <si>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</si>
  <si>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</si>
  <si>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</si>
  <si>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</si>
  <si>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</si>
  <si>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</si>
  <si>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</si>
  <si>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</si>
  <si>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</si>
  <si>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</si>
  <si>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</si>
  <si>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</si>
  <si>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</si>
  <si>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</si>
  <si>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</si>
  <si>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</si>
  <si>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</si>
  <si>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</si>
  <si>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</si>
  <si>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</si>
  <si>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</si>
  <si>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</si>
  <si>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</si>
  <si>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</si>
  <si>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</si>
  <si>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</si>
  <si>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</si>
  <si>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</si>
  <si>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</si>
  <si>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</si>
  <si>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</si>
  <si>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</si>
  <si>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</si>
  <si>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</si>
  <si>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</si>
  <si>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</si>
  <si>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</si>
  <si>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</si>
  <si>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</si>
  <si>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</si>
  <si>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</si>
  <si>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</si>
  <si>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</si>
  <si>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</si>
  <si>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</si>
  <si>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</si>
  <si>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</si>
  <si>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</si>
  <si>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</si>
  <si>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</si>
  <si>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</si>
  <si>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</si>
  <si>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</si>
  <si>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</si>
  <si>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</si>
  <si>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</si>
  <si>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</si>
  <si>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</si>
  <si>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</si>
  <si>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</si>
  <si>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</si>
  <si>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</si>
  <si>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</si>
  <si>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</si>
  <si>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</si>
  <si>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</si>
  <si>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</si>
  <si>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</si>
  <si>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</si>
  <si>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</si>
  <si>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</si>
  <si>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</si>
  <si>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</si>
  <si>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</si>
  <si>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</si>
  <si>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</si>
  <si>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</si>
  <si>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</si>
  <si>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</si>
  <si>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</si>
  <si>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</si>
  <si>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</si>
  <si>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</si>
  <si>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</si>
  <si>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</si>
  <si>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</si>
  <si>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</si>
  <si>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</si>
  <si>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</si>
  <si>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</si>
  <si>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</si>
  <si>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</si>
  <si>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</si>
  <si>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</si>
  <si>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</si>
  <si>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</si>
  <si>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</si>
  <si>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</si>
  <si>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</si>
  <si>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</si>
  <si>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</si>
  <si>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</si>
  <si>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</si>
  <si>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</si>
  <si>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</si>
  <si>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</si>
  <si>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</si>
  <si>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</si>
  <si>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</si>
  <si>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</si>
  <si>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</si>
  <si>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</si>
  <si>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</si>
  <si>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</si>
  <si>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</si>
  <si>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</si>
  <si>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</si>
  <si>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</si>
  <si>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</si>
  <si>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</si>
  <si>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</si>
  <si>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</si>
  <si>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</si>
  <si>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</si>
  <si>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</si>
  <si>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</si>
  <si>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</si>
  <si>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</si>
  <si>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</si>
  <si>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</si>
  <si>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</si>
  <si>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</si>
  <si>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</si>
  <si>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</si>
  <si>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</si>
  <si>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</si>
  <si>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</si>
  <si>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</si>
  <si>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</si>
  <si>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</si>
  <si>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</si>
  <si>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</si>
  <si>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</si>
  <si>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</si>
  <si>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</si>
  <si>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</si>
  <si>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</si>
  <si>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</si>
  <si>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</si>
  <si>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</si>
  <si>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</si>
  <si>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</si>
  <si>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</si>
  <si>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</si>
  <si>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</si>
  <si>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</si>
  <si>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</si>
  <si>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</si>
  <si>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</si>
  <si>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</si>
  <si>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</si>
  <si>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</si>
  <si>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</si>
  <si>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</si>
  <si>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</si>
  <si>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</si>
  <si>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</si>
  <si>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</si>
  <si>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</si>
  <si>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</si>
  <si>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</si>
  <si>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</si>
  <si>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</si>
  <si>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</si>
  <si>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</si>
  <si>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</si>
  <si>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</si>
  <si>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</si>
  <si>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</si>
  <si>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</si>
  <si>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</si>
  <si>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</si>
  <si>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</si>
  <si>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</si>
  <si>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</si>
  <si>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</si>
  <si>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</si>
  <si>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</si>
  <si>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</si>
  <si>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</si>
  <si>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</si>
  <si>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</si>
  <si>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</si>
  <si>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</si>
  <si>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</si>
  <si>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</si>
  <si>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</si>
  <si>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</si>
  <si>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</si>
  <si>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</si>
  <si>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</si>
  <si>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</si>
  <si>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</si>
  <si>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</si>
  <si>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</si>
  <si>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</si>
  <si>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</si>
  <si>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</si>
  <si>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</si>
  <si>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</si>
  <si>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</si>
  <si>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</si>
  <si>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</si>
  <si>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</si>
  <si>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</si>
  <si>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</si>
  <si>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</si>
  <si>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</si>
  <si>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</si>
  <si>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</si>
  <si>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</si>
  <si>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</si>
  <si>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</si>
  <si>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</si>
  <si>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</si>
  <si>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</si>
  <si>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</si>
  <si>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</si>
  <si>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</si>
  <si>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</si>
  <si>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</si>
  <si>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</si>
  <si>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</si>
  <si>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</si>
  <si>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</si>
  <si>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</si>
  <si>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</si>
  <si>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</si>
  <si>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</si>
  <si>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</si>
  <si>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</si>
  <si>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</si>
  <si>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</si>
  <si>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</si>
  <si>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</si>
  <si>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</si>
  <si>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</si>
  <si>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</si>
  <si>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</si>
  <si>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</si>
  <si>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</si>
  <si>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</si>
  <si>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</si>
  <si>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</si>
  <si>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</si>
  <si>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</si>
  <si>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</si>
  <si>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</si>
  <si>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</si>
  <si>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</si>
  <si>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</si>
  <si>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</si>
  <si>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</si>
  <si>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</si>
  <si>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</si>
  <si>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</si>
  <si>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</si>
  <si>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</si>
  <si>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</si>
  <si>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</si>
  <si>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</si>
  <si>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</si>
  <si>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</si>
  <si>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</si>
  <si>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</si>
  <si>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</si>
  <si>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</si>
  <si>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</si>
  <si>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</si>
  <si>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</si>
  <si>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</si>
  <si>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</si>
  <si>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</si>
  <si>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</si>
  <si>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</si>
  <si>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</si>
  <si>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</si>
  <si>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</si>
  <si>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</si>
  <si>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</si>
  <si>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</si>
  <si>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</si>
  <si>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</si>
  <si>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</si>
  <si>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</si>
  <si>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</si>
  <si>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</si>
  <si>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</si>
  <si>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</si>
  <si>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</si>
  <si>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</si>
  <si>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</si>
  <si>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</si>
  <si>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</si>
  <si>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</si>
  <si>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</si>
  <si>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</si>
  <si>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</si>
  <si>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</si>
  <si>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</si>
  <si>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</si>
  <si>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</si>
  <si>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</si>
  <si>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</si>
  <si>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</si>
  <si>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</si>
  <si>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</si>
  <si>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</si>
  <si>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</si>
  <si>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</si>
  <si>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</si>
  <si>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</si>
  <si>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</si>
  <si>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</si>
  <si>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</si>
  <si>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</si>
  <si>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</si>
  <si>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</si>
  <si>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</si>
  <si>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</si>
  <si>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</si>
  <si>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</si>
  <si>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</si>
  <si>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</si>
  <si>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</si>
  <si>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</si>
  <si>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</si>
  <si>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</si>
  <si>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</si>
  <si>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</si>
  <si>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</si>
  <si>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</si>
  <si>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</si>
  <si>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</si>
  <si>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</si>
  <si>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</si>
  <si>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</si>
  <si>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</si>
  <si>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</si>
  <si>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</si>
  <si>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</si>
  <si>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</si>
  <si>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</si>
  <si>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</si>
  <si>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</si>
  <si>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</si>
  <si>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</si>
  <si>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</si>
  <si>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</si>
  <si>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</si>
  <si>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</si>
  <si>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</si>
  <si>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</si>
  <si>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</si>
  <si>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</si>
  <si>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</si>
  <si>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</si>
  <si>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</si>
  <si>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</si>
  <si>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</si>
  <si>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</si>
  <si>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</si>
  <si>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</si>
  <si>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</si>
  <si>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</si>
  <si>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</si>
  <si>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</si>
  <si>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</si>
  <si>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</si>
  <si>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</si>
  <si>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</si>
  <si>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</si>
  <si>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</si>
  <si>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</si>
  <si>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</si>
  <si>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</si>
  <si>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</si>
  <si>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</si>
  <si>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</si>
  <si>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</si>
  <si>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</si>
  <si>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</si>
  <si>
    <t>FRAGA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</si>
</sst>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iqSXSMs77Ft/FXNtt8fJGGCqt7/xgZehNtaG7qChxRUJ8GnQn9FY+DfLWnO1OpVS76/kfzPMdkWtF06gfK9Cw==" saltValue="RYEF4kEKNZfIel0qJ76G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FRAGA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592</v>
      </c>
      <c r="D12" s="404">
        <f>IF(ISNUMBER(C12/Datos!BH12),C12/Datos!BH12," - ")</f>
        <v>296</v>
      </c>
      <c r="E12" s="403">
        <f>IF(ISNUMBER(IF(J_V="SI",Datos!J12,Datos!J12+Datos!Z12)),IF(J_V="SI",Datos!J12,Datos!J12+Datos!Z12)," - ")</f>
        <v>345</v>
      </c>
      <c r="F12" s="404">
        <f>IF(ISNUMBER(E12/B12),E12/B12," - ")</f>
        <v>172.5</v>
      </c>
      <c r="G12" s="403">
        <f>IF(ISNUMBER(IF(J_V="SI",Datos!K12,Datos!K12+Datos!AA12)),IF(J_V="SI",Datos!K12,Datos!K12+Datos!AA12)," - ")</f>
        <v>362</v>
      </c>
      <c r="H12" s="404">
        <f>IF(ISNUMBER(G12/B12),G12/B12," - ")</f>
        <v>181</v>
      </c>
      <c r="I12" s="403">
        <f>IF(ISNUMBER(IF(J_V="SI",Datos!L12,Datos!L12+Datos!AB12)),IF(J_V="SI",Datos!L12,Datos!L12+Datos!AB12)," - ")</f>
        <v>575</v>
      </c>
      <c r="J12" s="404">
        <f>IF(ISNUMBER(I12/B12),I12/B12," - ")</f>
        <v>287.5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594</v>
      </c>
      <c r="D13" s="850" t="str">
        <f>IF(ISNUMBER(C13/Datos!BI13),C13/Datos!BI13," - ")</f>
        <v xml:space="preserve"> - </v>
      </c>
      <c r="E13" s="849">
        <f>SUBTOTAL(9,E8:E12)</f>
        <v>346</v>
      </c>
      <c r="F13" s="850">
        <f>IF(ISNUMBER(E13/B13),E13/B13," - ")</f>
        <v>173</v>
      </c>
      <c r="G13" s="849">
        <f>SUBTOTAL(9,G8:G12)</f>
        <v>363</v>
      </c>
      <c r="H13" s="850">
        <f>IF(ISNUMBER(G13/B13),G13/B13," - ")</f>
        <v>181.5</v>
      </c>
      <c r="I13" s="849">
        <f>SUBTOTAL(9,I8:I12)</f>
        <v>577</v>
      </c>
      <c r="J13" s="850">
        <f>IF(ISNUMBER(I13/B13),I13/B13," - ")</f>
        <v>288.5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329</v>
      </c>
      <c r="D16" s="404">
        <f>IF(ISNUMBER(C16/Datos!BH16),C16/Datos!BH16," - ")</f>
        <v>164.5</v>
      </c>
      <c r="E16" s="403">
        <f>IF(ISNUMBER(IF(D_I="SI",Datos!J16,Datos!J16+Datos!AD16)),IF(D_I="SI",Datos!J16,Datos!J16+Datos!AD16)," - ")</f>
        <v>259</v>
      </c>
      <c r="F16" s="404">
        <f>IF(ISNUMBER(E16/B16),E16/B16," - ")</f>
        <v>129.5</v>
      </c>
      <c r="G16" s="403">
        <f>IF(ISNUMBER(IF(D_I="SI",Datos!K16,Datos!K16+Datos!AE16)),IF(D_I="SI",Datos!K16,Datos!K16+Datos!AE16)," - ")</f>
        <v>281</v>
      </c>
      <c r="H16" s="404">
        <f>IF(ISNUMBER(G16/B16),G16/B16," - ")</f>
        <v>140.5</v>
      </c>
      <c r="I16" s="403">
        <f>IF(ISNUMBER(IF(D_I="SI",Datos!L16,Datos!L16+Datos!AF16)),IF(D_I="SI",Datos!L16,Datos!L16+Datos!AF16)," - ")</f>
        <v>309</v>
      </c>
      <c r="J16" s="404">
        <f>IF(ISNUMBER(I16/B16),I16/B16," - ")</f>
        <v>154.5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32</v>
      </c>
      <c r="F17" s="404">
        <f>IF(ISNUMBER(E17/B17),E17/B17," - ")</f>
        <v>32</v>
      </c>
      <c r="G17" s="403">
        <f>IF(ISNUMBER(IF(D_I="SI",Datos!K17,Datos!K17+Datos!AE17)),IF(D_I="SI",Datos!K17,Datos!K17+Datos!AE17)," - ")</f>
        <v>36</v>
      </c>
      <c r="H17" s="404">
        <f>IF(ISNUMBER(G17/B17),G17/B17," - ")</f>
        <v>36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344</v>
      </c>
      <c r="D18" s="850" t="str">
        <f>IF(ISNUMBER(C18/Datos!BI18),C18/Datos!BI18," - ")</f>
        <v xml:space="preserve"> - </v>
      </c>
      <c r="E18" s="849">
        <f>SUBTOTAL(9,E14:E17)</f>
        <v>291</v>
      </c>
      <c r="F18" s="850">
        <f>IF(ISNUMBER(E18/B18),E18/B18," - ")</f>
        <v>145.5</v>
      </c>
      <c r="G18" s="849">
        <f>SUBTOTAL(9,G14:G17)</f>
        <v>317</v>
      </c>
      <c r="H18" s="850">
        <f>IF(ISNUMBER(G18/B18),G18/B18," - ")</f>
        <v>158.5</v>
      </c>
      <c r="I18" s="849">
        <f>SUBTOTAL(9,I14:I17)</f>
        <v>320</v>
      </c>
      <c r="J18" s="850">
        <f>IF(ISNUMBER(I18/B18),I18/B18," - ")</f>
        <v>160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938</v>
      </c>
      <c r="D19" s="795" t="str">
        <f>IF(ISNUMBER(C19/Datos!BI19),C19/Datos!BI19," - ")</f>
        <v xml:space="preserve"> - </v>
      </c>
      <c r="E19" s="794">
        <f>SUBTOTAL(9,E9:E18)</f>
        <v>637</v>
      </c>
      <c r="F19" s="795">
        <f>IF(ISNUMBER(E19/B19),E19/B19," - ")</f>
        <v>318.5</v>
      </c>
      <c r="G19" s="794">
        <f>SUBTOTAL(9,G9:G18)</f>
        <v>680</v>
      </c>
      <c r="H19" s="795">
        <f>IF(ISNUMBER(G19/B19),G19/B19," - ")</f>
        <v>340</v>
      </c>
      <c r="I19" s="794">
        <f>SUBTOTAL(9,I9:I18)</f>
        <v>897</v>
      </c>
      <c r="J19" s="795">
        <f>IF(ISNUMBER(I19/B19),I19/B19," - ")</f>
        <v>448.5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zPsxy7B9iMNRnO3fXnpzfE2iOIUR/ID4KeWuWYC6eQo/KCssyUIj+o8kZPNsoEwV5ge65E1eOh/F/hsabdwdA==" saltValue="0SOvYl7tzxQdZreTktJH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FRAGA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9jl2GXXj6k4OKX9bgsbVlrc3NlGNeTE64G6AmicZNV6EwwTsFr58N18qz7G0knhwBGwmQDcg15Crh4f8+4WIw==" saltValue="IrhGs+mvtGOzP907LxJJ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FRAGA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132</v>
      </c>
      <c r="G12" s="404">
        <f t="shared" si="1"/>
        <v>66</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120</v>
      </c>
      <c r="E13" s="850">
        <f t="shared" si="0"/>
        <v>60</v>
      </c>
      <c r="F13" s="849">
        <f>SUBTOTAL(9,F9:F12)</f>
        <v>133</v>
      </c>
      <c r="G13" s="850">
        <f t="shared" si="1"/>
        <v>66.5</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141</v>
      </c>
      <c r="G16" s="404">
        <f t="shared" si="4"/>
        <v>70.5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159</v>
      </c>
      <c r="G18" s="850">
        <f t="shared" si="4"/>
        <v>79.5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174</v>
      </c>
      <c r="E19" s="795">
        <f>IF(ISNUMBER(D19/B19),D19/B19," - ")</f>
        <v>87</v>
      </c>
      <c r="F19" s="794">
        <f>SUBTOTAL(9,F8:F18)</f>
        <v>292</v>
      </c>
      <c r="G19" s="795">
        <f>IF(ISNUMBER(F19/B19),F19/B19," - ")</f>
        <v>146</v>
      </c>
      <c r="H19" s="794">
        <f>SUBTOTAL(9,H8:H18)</f>
        <v>133</v>
      </c>
      <c r="I19" s="795">
        <f>IF(ISNUMBER(H19/B19),H19/B19," - ")</f>
        <v>66.5</v>
      </c>
    </row>
    <row r="22" spans="1:78">
      <c r="A22" s="391" t="str">
        <f>Criterios!A4</f>
        <v>Fecha Informe: 27 feb. 2025</v>
      </c>
    </row>
    <row r="27" spans="1:78">
      <c r="A27" s="414"/>
    </row>
  </sheetData>
  <sheetProtection algorithmName="SHA-512" hashValue="FDvvlpJWXdb4zEb2KbkD3Qbst7x740u0Bko8TbahSItTE/9zG32JT73qmkfaYteOYFC2e4JH62mwRIOo4FvSEQ==" saltValue="KBgy5nBFtvxs5CNh8QYr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FRAGA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86</v>
      </c>
      <c r="D12" s="408">
        <f>IF(ISNUMBER(Datos!R12),Datos!R12," - ")</f>
        <v>1181</v>
      </c>
    </row>
    <row r="13" spans="1:4" ht="14.25" thickTop="1" thickBot="1">
      <c r="A13" s="848" t="str">
        <f>Datos!A13</f>
        <v>TOTAL</v>
      </c>
      <c r="B13" s="849">
        <f>SUBTOTAL(9,B9:B12)</f>
        <v>112</v>
      </c>
      <c r="C13" s="853">
        <f>SUBTOTAL(9,C9:C12)</f>
        <v>86</v>
      </c>
      <c r="D13" s="851">
        <f>SUBTOTAL(9,D9:D12)</f>
        <v>1181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12</v>
      </c>
      <c r="D16" s="408">
        <f>IF(ISNUMBER(Datos!R16),Datos!R16," - ")</f>
        <v>64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12</v>
      </c>
      <c r="D18" s="851">
        <f>SUBTOTAL(9,D15:D17)</f>
        <v>64</v>
      </c>
    </row>
    <row r="19" spans="1:4" ht="16.5" customHeight="1" thickTop="1" thickBot="1">
      <c r="A19" s="793" t="str">
        <f>Datos!A19</f>
        <v>TOTAL JURISDICCIONES</v>
      </c>
      <c r="B19" s="798">
        <f>SUBTOTAL(9,B8:B18)</f>
        <v>141</v>
      </c>
      <c r="C19" s="799">
        <f>SUBTOTAL(9,C8:C18)</f>
        <v>98</v>
      </c>
      <c r="D19" s="800">
        <f>SUBTOTAL(9,D8:D18)</f>
        <v>1245</v>
      </c>
    </row>
    <row r="20" spans="1:4" ht="7.5" customHeight="1"/>
    <row r="21" spans="1:4" ht="6" customHeight="1"/>
    <row r="22" spans="1:4">
      <c r="A22" s="391" t="str">
        <f>Criterios!A4</f>
        <v>Fecha Informe: 27 feb. 2025</v>
      </c>
    </row>
    <row r="27" spans="1:4">
      <c r="A27" s="414"/>
    </row>
  </sheetData>
  <sheetProtection algorithmName="SHA-512" hashValue="rUezigZ58EzQ4Mm270TTjbBI3PIOxcSfMoAqgxEShth8NK/82iGiuxqX7kUH5SE//3qGncFzLHKkg4Q89a8bGA==" saltValue="l+AVaY1iludZq9DCn1ph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FRAGA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0.184</v>
      </c>
      <c r="C12" s="456">
        <f>IF(ISNUMBER(
   IF(J_V="SI",(Datos!J12-Datos!T12)/Datos!T12,(Datos!J12+Datos!Z12-(Datos!T12+Datos!AH12))/(Datos!T12+Datos!AH12))
     ),IF(J_V="SI",(Datos!J12-Datos!T12)/Datos!T12,(Datos!J12+Datos!Z12-(Datos!T12+Datos!AH12))/(Datos!T12+Datos!AH12))," - ")</f>
        <v>0.17346938775510204</v>
      </c>
      <c r="D12" s="456">
        <f>IF(ISNUMBER(
   IF(J_V="SI",(Datos!K12-Datos!U12)/Datos!U12,(Datos!K12+Datos!AA12-(Datos!U12+Datos!AI12))/(Datos!U12+Datos!AI12))
     ),IF(J_V="SI",(Datos!K12-Datos!U12)/Datos!U12,(Datos!K12+Datos!AA12-(Datos!U12+Datos!AI12))/(Datos!U12+Datos!AI12))," - ")</f>
        <v>0.24827586206896551</v>
      </c>
      <c r="E12" s="456">
        <f>IF(ISNUMBER(
   IF(J_V="SI",(Datos!L12-Datos!V12)/Datos!V12,(Datos!L12+Datos!AB12-(Datos!V12+Datos!AJ12))/(Datos!V12+Datos!AJ12))
     ),IF(J_V="SI",(Datos!L12-Datos!V12)/Datos!V12,(Datos!L12+Datos!AB12-(Datos!V12+Datos!AJ12))/(Datos!V12+Datos!AJ12))," - ")</f>
        <v>0.14087301587301587</v>
      </c>
      <c r="F12" s="456">
        <f>IF(ISNUMBER((Datos!M12-Datos!W12)/Datos!W12),(Datos!M12-Datos!W12)/Datos!W12," - ")</f>
        <v>0.6216216216216216</v>
      </c>
      <c r="G12" s="457">
        <f>IF(ISNUMBER((Datos!N12-Datos!X12)/Datos!X12),(Datos!N12-Datos!X12)/Datos!X12," - ")</f>
        <v>0.30693069306930693</v>
      </c>
      <c r="H12" s="455">
        <f>IF(ISNUMBER(((NºAsuntos!G12/NºAsuntos!E12)-Datos!BD12)/Datos!BD12),((NºAsuntos!G12/NºAsuntos!E12)-Datos!BD12)/Datos!BD12," - ")</f>
        <v>6.3748125937031594E-2</v>
      </c>
      <c r="I12" s="456">
        <f>IF(ISNUMBER(((NºAsuntos!I12/NºAsuntos!G12)-Datos!BE12)/Datos!BE12),((NºAsuntos!I12/NºAsuntos!G12)-Datos!BE12)/Datos!BE12," - ")</f>
        <v>-8.6040954134876751E-2</v>
      </c>
      <c r="J12" s="461">
        <f>IF(ISNUMBER((('Resol  Asuntos'!D12/NºAsuntos!G12)-Datos!BF12)/Datos!BF12),(('Resol  Asuntos'!D12/NºAsuntos!G12)-Datos!BF12)/Datos!BF12," - ")</f>
        <v>-4.8192112028882413E-2</v>
      </c>
      <c r="K12" s="462">
        <f>IF(ISNUMBER((((NºAsuntos!C12+NºAsuntos!E12)/NºAsuntos!G12)-Datos!BG12)/Datos!BG12),(((NºAsuntos!C12+NºAsuntos!E12)/NºAsuntos!G12)-Datos!BG12)/Datos!BG12," - ")</f>
        <v>-5.4615416730450651E-2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0.17857142857142858</v>
      </c>
      <c r="C13" s="855">
        <f>IF(ISNUMBER(
   IF(J_V="SI",(Datos!J13-Datos!T13)/Datos!T13,(Datos!J13+Datos!Z13-(Datos!T13+Datos!AH13))/(Datos!T13+Datos!AH13))
     ),IF(J_V="SI",(Datos!J13-Datos!T13)/Datos!T13,(Datos!J13+Datos!Z13-(Datos!T13+Datos!AH13))/(Datos!T13+Datos!AH13))," - ")</f>
        <v>0.17687074829931973</v>
      </c>
      <c r="D13" s="855">
        <f>IF(ISNUMBER(
   IF(J_V="SI",(Datos!K13-Datos!U13)/Datos!U13,(Datos!K13+Datos!AA13-(Datos!U13+Datos!AI13))/(Datos!U13+Datos!AI13))
     ),IF(J_V="SI",(Datos!K13-Datos!U13)/Datos!U13,(Datos!K13+Datos!AA13-(Datos!U13+Datos!AI13))/(Datos!U13+Datos!AI13))," - ")</f>
        <v>0.25172413793103449</v>
      </c>
      <c r="E13" s="855">
        <f>IF(ISNUMBER(
   IF(J_V="SI",(Datos!L13-Datos!V13)/Datos!V13,(Datos!L13+Datos!AB13-(Datos!V13+Datos!AJ13))/(Datos!V13+Datos!AJ13))
     ),IF(J_V="SI",(Datos!L13-Datos!V13)/Datos!V13,(Datos!L13+Datos!AB13-(Datos!V13+Datos!AJ13))/(Datos!V13+Datos!AJ13))," - ")</f>
        <v>0.13582677165354332</v>
      </c>
      <c r="F13" s="856">
        <f>IF(ISNUMBER((Datos!M13-Datos!W13)/Datos!W13),(Datos!M13-Datos!W13)/Datos!W13," - ")</f>
        <v>0.6216216216216216</v>
      </c>
      <c r="G13" s="857">
        <f>IF(ISNUMBER((Datos!N13-Datos!X13)/Datos!X13),(Datos!N13-Datos!X13)/Datos!X13," - ")</f>
        <v>0.31683168316831684</v>
      </c>
      <c r="H13" s="857">
        <f>IF(ISNUMBER(((NºAsuntos!G13/NºAsuntos!E13)-Datos!BD13)/Datos!BD13),((NºAsuntos!G13/NºAsuntos!E13)-Datos!BD13)/Datos!BD13," - ")</f>
        <v>6.3603747259318222E-2</v>
      </c>
      <c r="I13" s="857">
        <f>IF(ISNUMBER(((NºAsuntos!I13/NºAsuntos!G13)-Datos!BE13)/Datos!BE13),((NºAsuntos!I13/NºAsuntos!G13)-Datos!BE13)/Datos!BE13," - ")</f>
        <v>-9.2590182425543913E-2</v>
      </c>
      <c r="J13" s="857">
        <f>IF(ISNUMBER((('Resol  Asuntos'!D13/NºAsuntos!G13)-Datos!BF13)/Datos!BF13),(('Resol  Asuntos'!D13/NºAsuntos!G13)-Datos!BF13)/Datos!BF13," - ")</f>
        <v>-5.0814172326323445E-2</v>
      </c>
      <c r="K13" s="857">
        <f>IF(ISNUMBER((((NºAsuntos!C13+NºAsuntos!E13)/NºAsuntos!G13)-Datos!BG13)/Datos!BG13),(((NºAsuntos!C13+NºAsuntos!E13)/NºAsuntos!G13)-Datos!BG13)/Datos!BG13," - ")</f>
        <v>-5.8942121143078077E-2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-1.4970059880239521E-2</v>
      </c>
      <c r="C16" s="456">
        <f>IF(ISNUMBER(
   IF(D_I="SI",(Datos!J16-Datos!T16)/Datos!T16,(Datos!J16+Datos!AD16-(Datos!T16+Datos!AL16))/(Datos!T16+Datos!AL16))
     ),IF(D_I="SI",(Datos!J16-Datos!T16)/Datos!T16,(Datos!J16+Datos!AD16-(Datos!T16+Datos!AL16))/(Datos!T16+Datos!AL16))," - ")</f>
        <v>-2.6315789473684209E-2</v>
      </c>
      <c r="D16" s="456">
        <f>IF(ISNUMBER(
   IF(D_I="SI",(Datos!K16-Datos!U16)/Datos!U16,(Datos!K16+Datos!AE16-(Datos!U16+Datos!AM16))/(Datos!U16+Datos!AM16))
     ),IF(D_I="SI",(Datos!K16-Datos!U16)/Datos!U16,(Datos!K16+Datos!AE16-(Datos!U16+Datos!AM16))/(Datos!U16+Datos!AM16))," - ")</f>
        <v>-5.7046979865771813E-2</v>
      </c>
      <c r="E16" s="456">
        <f>IF(ISNUMBER(
   IF(D_I="SI",(Datos!L16-Datos!V16)/Datos!V16,(Datos!L16+Datos!AF16-(Datos!V16+Datos!AN16))/(Datos!V16+Datos!AN16))
     ),IF(D_I="SI",(Datos!L16-Datos!V16)/Datos!V16,(Datos!L16+Datos!AF16-(Datos!V16+Datos!AN16))/(Datos!V16+Datos!AN16))," - ")</f>
        <v>-3.2258064516129032E-3</v>
      </c>
      <c r="F16" s="456">
        <f>IF(ISNUMBER((Datos!M16-Datos!W16)/Datos!W16),(Datos!M16-Datos!W16)/Datos!W16," - ")</f>
        <v>-0.17741935483870969</v>
      </c>
      <c r="G16" s="457">
        <f>IF(ISNUMBER((Datos!N16-Datos!X16)/Datos!X16),(Datos!N16-Datos!X16)/Datos!X16," - ")</f>
        <v>-3.4246575342465752E-2</v>
      </c>
      <c r="H16" s="455">
        <f>IF(ISNUMBER(((NºAsuntos!G16/NºAsuntos!E16)-Datos!BD16)/Datos!BD16),((NºAsuntos!G16/NºAsuntos!E16)-Datos!BD16)/Datos!BD16," - ")</f>
        <v>-3.1561763105387212E-2</v>
      </c>
      <c r="I16" s="456">
        <f>IF(ISNUMBER(((NºAsuntos!I16/NºAsuntos!G16)-Datos!BE16)/Datos!BE16),((NºAsuntos!I16/NºAsuntos!G16)-Datos!BE16)/Datos!BE16," - ")</f>
        <v>5.7077258638503006E-2</v>
      </c>
      <c r="J16" s="461">
        <f>IF(ISNUMBER((('Resol  Asuntos'!D16/NºAsuntos!G16)-Datos!BF16)/Datos!BF16),(('Resol  Asuntos'!D16/NºAsuntos!G16)-Datos!BF16)/Datos!BF16," - ")</f>
        <v>-0.12765468947308004</v>
      </c>
      <c r="K16" s="462">
        <f>IF(ISNUMBER((((NºAsuntos!C16+NºAsuntos!E16)/NºAsuntos!G16)-Datos!BG16)/Datos!BG16),(((NºAsuntos!C16+NºAsuntos!E16)/NºAsuntos!G16)-Datos!BG16)/Datos!BG16," - ")</f>
        <v>3.9288256227757862E-2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-0.42307692307692307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1.1176470588235294</v>
      </c>
      <c r="E17" s="456">
        <f>IF(ISNUMBER(
   IF(D_I="SI",(Datos!L17-Datos!V17)/Datos!V17,(Datos!L17+Datos!AF17-(Datos!V17+Datos!AN17))/(Datos!V17+Datos!AN17))
     ),IF(D_I="SI",(Datos!L17-Datos!V17)/Datos!V17,(Datos!L17+Datos!AF17-(Datos!V17+Datos!AN17))/(Datos!V17+Datos!AN17))," - ")</f>
        <v>-0.47619047619047616</v>
      </c>
      <c r="F17" s="456">
        <f>IF(ISNUMBER((Datos!M17-Datos!W17)/Datos!W17),(Datos!M17-Datos!W17)/Datos!W17," - ")</f>
        <v>2</v>
      </c>
      <c r="G17" s="457">
        <f>IF(ISNUMBER((Datos!N17-Datos!X17)/Datos!X17),(Datos!N17-Datos!X17)/Datos!X17," - ")</f>
        <v>1.25</v>
      </c>
      <c r="H17" s="455">
        <f>IF(ISNUMBER(((NºAsuntos!G17/NºAsuntos!E17)-Datos!BD17)/Datos!BD17),((NºAsuntos!G17/NºAsuntos!E17)-Datos!BD17)/Datos!BD17," - ")</f>
        <v>-0.20588235294117652</v>
      </c>
      <c r="I17" s="456">
        <f>IF(ISNUMBER(((NºAsuntos!I17/NºAsuntos!G17)-Datos!BE17)/Datos!BE17),((NºAsuntos!I17/NºAsuntos!G17)-Datos!BE17)/Datos!BE17," - ")</f>
        <v>-0.75264550264550267</v>
      </c>
      <c r="J17" s="461">
        <f>IF(ISNUMBER((('Resol  Asuntos'!D17/NºAsuntos!G17)-Datos!BF17)/Datos!BF17),(('Resol  Asuntos'!D17/NºAsuntos!G17)-Datos!BF17)/Datos!BF17," - ")</f>
        <v>0.41666666666666663</v>
      </c>
      <c r="K17" s="462">
        <f>IF(ISNUMBER((((NºAsuntos!C17+NºAsuntos!E17)/NºAsuntos!G17)-Datos!BG17)/Datos!BG17),(((NºAsuntos!C17+NºAsuntos!E17)/NºAsuntos!G17)-Datos!BG17)/Datos!BG17," - ")</f>
        <v>-0.41593567251461988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-4.4444444444444446E-2</v>
      </c>
      <c r="C18" s="855">
        <f>IF(ISNUMBER(
   IF(Criterios!B14="SI",(Datos!J18-Datos!T18)/Datos!T18,(Datos!J18+Datos!AD18-(Datos!T18+Datos!AL18))/(Datos!T18+Datos!AL18))
     ),IF(Criterios!B14="SI",(Datos!J18-Datos!T18)/Datos!T18,(Datos!J18+Datos!AD18-(Datos!T18+Datos!AL18))/(Datos!T18+Datos!AL18))," - ")</f>
        <v>4.6762589928057555E-2</v>
      </c>
      <c r="D18" s="855">
        <f>IF(ISNUMBER(
   IF(Criterios!B14="SI",(Datos!K18-Datos!U18)/Datos!U18,(Datos!K18+Datos!AE18-(Datos!U18+Datos!AM18))/(Datos!U18+Datos!AM18))
     ),IF(Criterios!B14="SI",(Datos!K18-Datos!U18)/Datos!U18,(Datos!K18+Datos!AE18-(Datos!U18+Datos!AM18))/(Datos!U18+Datos!AM18))," - ")</f>
        <v>6.3492063492063492E-3</v>
      </c>
      <c r="E18" s="855">
        <f>IF(ISNUMBER(
   IF(Criterios!B14="SI",(Datos!L18-Datos!V18)/Datos!V18,(Datos!L18+Datos!AF18-(Datos!V18+Datos!AN18))/(Datos!V18+Datos!AN18))
     ),IF(Criterios!B14="SI",(Datos!L18-Datos!V18)/Datos!V18,(Datos!L18+Datos!AF18-(Datos!V18+Datos!AN18))/(Datos!V18+Datos!AN18))," - ")</f>
        <v>-3.3232628398791542E-2</v>
      </c>
      <c r="F18" s="856">
        <f>IF(ISNUMBER((Datos!M18-Datos!W18)/Datos!W18),(Datos!M18-Datos!W18)/Datos!W18," - ")</f>
        <v>-0.14285714285714285</v>
      </c>
      <c r="G18" s="857">
        <f>IF(ISNUMBER((Datos!N18-Datos!X18)/Datos!X18),(Datos!N18-Datos!X18)/Datos!X18," - ")</f>
        <v>3.2467532467532464E-2</v>
      </c>
      <c r="H18" s="857">
        <f>IF(ISNUMBER(((NºAsuntos!G18/NºAsuntos!E18)-Datos!BD18)/Datos!BD18),((NºAsuntos!G18/NºAsuntos!E18)-Datos!BD18)/Datos!BD18," - ")</f>
        <v>-3.8607974690449055E-2</v>
      </c>
      <c r="I18" s="857">
        <f>IF(ISNUMBER(((NºAsuntos!I18/NºAsuntos!G18)-Datos!BE18)/Datos!BE18),((NºAsuntos!I18/NºAsuntos!G18)-Datos!BE18)/Datos!BE18," - ")</f>
        <v>-3.9332107083972757E-2</v>
      </c>
      <c r="J18" s="857">
        <f>IF(ISNUMBER((('Resol  Asuntos'!D18/NºAsuntos!G18)-Datos!BF18)/Datos!BF18),(('Resol  Asuntos'!D18/NºAsuntos!G18)-Datos!BF18)/Datos!BF18," - ")</f>
        <v>-0.14826498422712941</v>
      </c>
      <c r="K18" s="857">
        <f>IF(ISNUMBER((((NºAsuntos!C18+NºAsuntos!E18)/NºAsuntos!G18)-Datos!BG18)/Datos!BG18),(((NºAsuntos!C18+NºAsuntos!E18)/NºAsuntos!G18)-Datos!BG18)/Datos!BG18," - ")</f>
        <v>-1.0981675780979566E-2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8.5648148148148154E-2</v>
      </c>
      <c r="C19" s="802">
        <f>IF(ISNUMBER(
   IF(J_V="SI",(Datos!J19-Datos!T19)/Datos!T19,(Datos!J19+Datos!Z19-(Datos!T19+Datos!AH19))/(Datos!T19+Datos!AH19))
     ),IF(J_V="SI",(Datos!J19-Datos!T19)/Datos!T19,(Datos!J19+Datos!Z19-(Datos!T19+Datos!AH19))/(Datos!T19+Datos!AH19))," - ")</f>
        <v>0.11363636363636363</v>
      </c>
      <c r="D19" s="802">
        <f>IF(ISNUMBER(
   IF(J_V="SI",(Datos!K19-Datos!U19)/Datos!U19,(Datos!K19+Datos!AA19-(Datos!U19+Datos!AI19))/(Datos!U19+Datos!AI19))
     ),IF(J_V="SI",(Datos!K19-Datos!U19)/Datos!U19,(Datos!K19+Datos!AA19-(Datos!U19+Datos!AI19))/(Datos!U19+Datos!AI19))," - ")</f>
        <v>0.12396694214876033</v>
      </c>
      <c r="E19" s="802">
        <f>IF(ISNUMBER(
   IF(J_V="SI",(Datos!L19-Datos!V19)/Datos!V19,(Datos!L19+Datos!AB19-(Datos!V19+Datos!AJ19))/(Datos!V19+Datos!AJ19))
     ),IF(J_V="SI",(Datos!L19-Datos!V19)/Datos!V19,(Datos!L19+Datos!AB19-(Datos!V19+Datos!AJ19))/(Datos!V19+Datos!AJ19))," - ")</f>
        <v>6.9129916567342076E-2</v>
      </c>
      <c r="F19" s="803">
        <f>IF(ISNUMBER((Datos!M19-Datos!W19)/Datos!W19),(Datos!M19-Datos!W19)/Datos!W19," - ")</f>
        <v>0.27007299270072993</v>
      </c>
      <c r="G19" s="804">
        <f>IF(ISNUMBER((Datos!N19-Datos!X19)/Datos!X19),(Datos!N19-Datos!X19)/Datos!X19," - ")</f>
        <v>0.14509803921568629</v>
      </c>
      <c r="H19" s="805">
        <f>IF(ISNUMBER((Tasas!B19-Datos!BD19)/Datos!BD19),(Tasas!B19-Datos!BD19)/Datos!BD19," - ")</f>
        <v>9.2764378478665064E-3</v>
      </c>
      <c r="I19" s="806">
        <f>IF(ISNUMBER((Tasas!C19-Datos!BE19)/Datos!BE19),(Tasas!C19-Datos!BE19)/Datos!BE19," - ")</f>
        <v>-4.8788824230526613E-2</v>
      </c>
      <c r="J19" s="807">
        <f>IF(ISNUMBER((Tasas!D19-Datos!BF19)/Datos!BF19),(Tasas!D19-Datos!BF19)/Datos!BF19," - ")</f>
        <v>-5.6043758967001422E-2</v>
      </c>
      <c r="K19" s="807">
        <f>IF(ISNUMBER((Tasas!E19-Datos!BG19)/Datos!BG19),(Tasas!E19-Datos!BG19)/Datos!BG19," - ")</f>
        <v>-2.4173562182533019E-2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ZO9rEL1Ki7+GMd+jyjB2gYWdy3smgcVrff7zDBxmRIrCv6F1YXvJ37zgXuZ1yyUtmcgLvHM4P7jo8Vr3LgK5Q==" saltValue="jvLFSUgzTd52vXLEwcTO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FRAGA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1.0492753623188407</v>
      </c>
      <c r="C12" s="443">
        <f>IF(ISNUMBER(NºAsuntos!I12/NºAsuntos!G12),NºAsuntos!I12/NºAsuntos!G12," - ")</f>
        <v>1.5883977900552486</v>
      </c>
      <c r="D12" s="444">
        <f>IF(ISNUMBER('Resol  Asuntos'!D12/NºAsuntos!G12),'Resol  Asuntos'!D12/NºAsuntos!G12," - ")</f>
        <v>0.33149171270718231</v>
      </c>
      <c r="E12" s="445">
        <f>IF(ISNUMBER((NºAsuntos!C12+NºAsuntos!E12)/NºAsuntos!G12),(NºAsuntos!C12+NºAsuntos!E12)/NºAsuntos!G12," - ")</f>
        <v>2.5883977900552488</v>
      </c>
      <c r="G12" s="463"/>
    </row>
    <row r="13" spans="1:7" ht="14.25" thickTop="1" thickBot="1">
      <c r="A13" s="848" t="str">
        <f>Datos!A13</f>
        <v>TOTAL</v>
      </c>
      <c r="B13" s="858">
        <f>IF(ISNUMBER(NºAsuntos!G13/NºAsuntos!E13),NºAsuntos!G13/NºAsuntos!E13," - ")</f>
        <v>1.0491329479768785</v>
      </c>
      <c r="C13" s="859">
        <f>IF(ISNUMBER(NºAsuntos!I13/NºAsuntos!G13),NºAsuntos!I13/NºAsuntos!G13," - ")</f>
        <v>1.5895316804407713</v>
      </c>
      <c r="D13" s="860">
        <f>IF(ISNUMBER('Resol  Asuntos'!D13/NºAsuntos!G13),'Resol  Asuntos'!D13/NºAsuntos!G13," - ")</f>
        <v>0.33057851239669422</v>
      </c>
      <c r="E13" s="861">
        <f>IF(ISNUMBER((NºAsuntos!C13+NºAsuntos!E13)/NºAsuntos!G13),(NºAsuntos!C13+NºAsuntos!E13)/NºAsuntos!G13," - ")</f>
        <v>2.5895316804407713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1.084942084942085</v>
      </c>
      <c r="C16" s="443">
        <f>IF(ISNUMBER(NºAsuntos!I16/NºAsuntos!G16),NºAsuntos!I16/NºAsuntos!G16," - ")</f>
        <v>1.0996441281138789</v>
      </c>
      <c r="D16" s="444">
        <f>IF(ISNUMBER('Resol  Asuntos'!D16/NºAsuntos!G16),'Resol  Asuntos'!D16/NºAsuntos!G16," - ")</f>
        <v>0.18149466192170818</v>
      </c>
      <c r="E16" s="445">
        <f>IF(ISNUMBER((NºAsuntos!C16+NºAsuntos!E16)/NºAsuntos!G16),(NºAsuntos!C16+NºAsuntos!E16)/NºAsuntos!G16," - ")</f>
        <v>2.092526690391459</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0.30555555555555558</v>
      </c>
      <c r="D17" s="444">
        <f>IF(ISNUMBER('Resol  Asuntos'!D17/NºAsuntos!G17),'Resol  Asuntos'!D17/NºAsuntos!G17," - ")</f>
        <v>8.3333333333333329E-2</v>
      </c>
      <c r="E17" s="445">
        <f>IF(ISNUMBER((NºAsuntos!C17+NºAsuntos!E17)/NºAsuntos!G17),(NºAsuntos!C17+NºAsuntos!E17)/NºAsuntos!G17," - ")</f>
        <v>1.3055555555555556</v>
      </c>
      <c r="G17" s="463"/>
    </row>
    <row r="18" spans="1:7" ht="14.25" thickTop="1" thickBot="1">
      <c r="A18" s="848" t="str">
        <f>Datos!A18</f>
        <v>TOTAL</v>
      </c>
      <c r="B18" s="858">
        <f>IF(ISNUMBER(NºAsuntos!G18/NºAsuntos!E18),NºAsuntos!G18/NºAsuntos!E18," - ")</f>
        <v>1.0893470790378006</v>
      </c>
      <c r="C18" s="859">
        <f>IF(ISNUMBER(NºAsuntos!I18/NºAsuntos!G18),NºAsuntos!I18/NºAsuntos!G18," - ")</f>
        <v>1.0094637223974763</v>
      </c>
      <c r="D18" s="862">
        <f>IF(ISNUMBER('Resol  Asuntos'!D18/NºAsuntos!G18),'Resol  Asuntos'!D18/NºAsuntos!G18," - ")</f>
        <v>0.17034700315457413</v>
      </c>
      <c r="E18" s="861">
        <f>IF(ISNUMBER((NºAsuntos!C18+NºAsuntos!E18)/NºAsuntos!G18),(NºAsuntos!C18+NºAsuntos!E18)/NºAsuntos!G18," - ")</f>
        <v>2.0031545741324921</v>
      </c>
      <c r="G18" s="463"/>
    </row>
    <row r="19" spans="1:7" ht="15.75" customHeight="1" thickTop="1" thickBot="1">
      <c r="A19" s="793" t="str">
        <f>Datos!A19</f>
        <v>TOTAL JURISDICCIONES</v>
      </c>
      <c r="B19" s="808">
        <f>IF(ISNUMBER(NºAsuntos!G19/NºAsuntos!E19),NºAsuntos!G19/NºAsuntos!E19," - ")</f>
        <v>1.0675039246467819</v>
      </c>
      <c r="C19" s="809">
        <f>IF(ISNUMBER(NºAsuntos!I19/NºAsuntos!G19),NºAsuntos!I19/NºAsuntos!G19," - ")</f>
        <v>1.3191176470588235</v>
      </c>
      <c r="D19" s="810">
        <f>IF(ISNUMBER('Resol  Asuntos'!D19/NºAsuntos!G19),'Resol  Asuntos'!D19/NºAsuntos!G19," - ")</f>
        <v>0.25588235294117645</v>
      </c>
      <c r="E19" s="811">
        <f>IF(ISNUMBER((NºAsuntos!C19+NºAsuntos!E19)/NºAsuntos!G19),(NºAsuntos!C19+NºAsuntos!E19)/NºAsuntos!G19," - ")</f>
        <v>2.3161764705882355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JeIQOJwua+YWBebc0Jb3Nb5oQCa+zArRmILgECM2RXDowKVz06ViUN+cRz/UTTYZKQ3Mso8n6p2zznWrqPF9w==" saltValue="U08ecOBrEgIOZDtsgNuM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FRAGA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86</v>
      </c>
      <c r="Y12" s="334">
        <f t="shared" si="0"/>
        <v>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1.0492753623188407</v>
      </c>
      <c r="AM12" s="260">
        <f>IF(ISNUMBER(((NºAsuntos!I12/NºAsuntos!G12)*11)/factor_trimestre),((NºAsuntos!I12/NºAsuntos!G12)*11)/factor_trimestre," - ")</f>
        <v>4.7651933701657461</v>
      </c>
      <c r="AN12" s="244">
        <f>IF(ISNUMBER('Resol  Asuntos'!D12/NºAsuntos!G12),'Resol  Asuntos'!D12/NºAsuntos!G12," - ")</f>
        <v>0.33149171270718231</v>
      </c>
      <c r="AO12" s="245">
        <f>IF(ISNUMBER((NºAsuntos!C12+NºAsuntos!E12)/NºAsuntos!G12),(NºAsuntos!C12+NºAsuntos!E12)/NºAsuntos!G12," - ")</f>
        <v>2.5883977900552488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86</v>
      </c>
      <c r="Y13" s="868">
        <f t="shared" si="4"/>
        <v>87</v>
      </c>
      <c r="Z13" s="868">
        <f t="shared" si="4"/>
        <v>0</v>
      </c>
      <c r="AA13" s="868">
        <f t="shared" si="4"/>
        <v>2</v>
      </c>
      <c r="AB13" s="868">
        <f t="shared" si="4"/>
        <v>1181</v>
      </c>
      <c r="AC13" s="868">
        <f t="shared" si="4"/>
        <v>2</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1.0491329479768785</v>
      </c>
      <c r="AM13" s="874">
        <f>IF(ISNUMBER(((NºAsuntos!I13/NºAsuntos!G13)*11)/factor_trimestre),((NºAsuntos!I13/NºAsuntos!G13)*11)/factor_trimestre," - ")</f>
        <v>4.7685950413223139</v>
      </c>
      <c r="AN13" s="875">
        <f>IF(ISNUMBER('Resol  Asuntos'!D13/NºAsuntos!G13),'Resol  Asuntos'!D13/NºAsuntos!G13," - ")</f>
        <v>0.33057851239669422</v>
      </c>
      <c r="AO13" s="876">
        <f>IF(ISNUMBER((NºAsuntos!C13+NºAsuntos!E13)/NºAsuntos!G13),(NºAsuntos!C13+NºAsuntos!E13)/NºAsuntos!G13," - ")</f>
        <v>2.5895316804407713</v>
      </c>
      <c r="AP13" s="877" t="str">
        <f t="shared" si="2"/>
        <v xml:space="preserve"> - </v>
      </c>
      <c r="AQ13" s="877">
        <f>IF(ISNUMBER((H13-W13+K13)/(F13)),(H13-W13+K13)/(F13)," - ")</f>
        <v>-0.5</v>
      </c>
      <c r="AR13" s="878">
        <f>IF(ISNUMBER((Datos!P13-Datos!Q13)/(Datos!R13-Datos!P13+Datos!Q13)),(Datos!P13-Datos!Q13)/(Datos!R13-Datos!P13+Datos!Q13)," - ")</f>
        <v>2.2510822510822513E-2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331</v>
      </c>
      <c r="G16" s="333">
        <f>IF(ISNUMBER(IF(D_I="SI",Datos!I16,Datos!I16+Datos!AC16)),IF(D_I="SI",Datos!I16,Datos!I16+Datos!AC16)," - ")</f>
        <v>329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281</v>
      </c>
      <c r="X16" s="226">
        <f>IF(ISNUMBER(Datos!Q16),Datos!Q16," - ")</f>
        <v>12</v>
      </c>
      <c r="Y16" s="334">
        <f t="shared" ref="Y16:Y17" si="7">SUM(W16:X16)</f>
        <v>293</v>
      </c>
      <c r="Z16" s="335" t="str">
        <f>IF(ISNUMBER(Datos!CC16),Datos!CC16," - ")</f>
        <v xml:space="preserve"> - </v>
      </c>
      <c r="AA16" s="332">
        <f>IF(ISNUMBER(IF(D_I="SI",Datos!L16,Datos!L16+Datos!AF16)),IF(D_I="SI",Datos!L16,Datos!L16+Datos!AF16)," - ")</f>
        <v>309</v>
      </c>
      <c r="AB16" s="334">
        <f>IF(ISNUMBER(Datos!R16),Datos!R16," - ")</f>
        <v>64</v>
      </c>
      <c r="AC16" s="334">
        <f t="shared" si="6"/>
        <v>373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1.084942084942085</v>
      </c>
      <c r="AM16" s="260">
        <f>IF(ISNUMBER(((NºAsuntos!I16/NºAsuntos!G16)*11)/factor_trimestre),((NºAsuntos!I16/NºAsuntos!G16)*11)/factor_trimestre," - ")</f>
        <v>3.2989323843416369</v>
      </c>
      <c r="AN16" s="244">
        <f>IF(ISNUMBER('Resol  Asuntos'!D16/NºAsuntos!G16),'Resol  Asuntos'!D16/NºAsuntos!G16," - ")</f>
        <v>0.18149466192170818</v>
      </c>
      <c r="AO16" s="245">
        <f>IF(ISNUMBER((NºAsuntos!C16+NºAsuntos!E16)/NºAsuntos!G16),(NºAsuntos!C16+NºAsuntos!E16)/NºAsuntos!G16," - ")</f>
        <v>2.092526690391459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0.91666666666666685</v>
      </c>
      <c r="AN17" s="244">
        <f>IF(ISNUMBER('Resol  Asuntos'!D17/NºAsuntos!G17),'Resol  Asuntos'!D17/NºAsuntos!G17," - ")</f>
        <v>8.3333333333333329E-2</v>
      </c>
      <c r="AO17" s="245">
        <f>IF(ISNUMBER((NºAsuntos!C17+NºAsuntos!E17)/NºAsuntos!G17),(NºAsuntos!C17+NºAsuntos!E17)/NºAsuntos!G17," - ")</f>
        <v>1.3055555555555556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331</v>
      </c>
      <c r="G18" s="866">
        <f>SUBTOTAL(9,G15:G17)</f>
        <v>344</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317</v>
      </c>
      <c r="X18" s="867">
        <f t="shared" si="11"/>
        <v>12</v>
      </c>
      <c r="Y18" s="868">
        <f t="shared" si="11"/>
        <v>329</v>
      </c>
      <c r="Z18" s="868">
        <f t="shared" si="11"/>
        <v>0</v>
      </c>
      <c r="AA18" s="868">
        <f t="shared" si="11"/>
        <v>320</v>
      </c>
      <c r="AB18" s="868">
        <f t="shared" si="11"/>
        <v>64</v>
      </c>
      <c r="AC18" s="868">
        <f t="shared" si="11"/>
        <v>384</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1.0893470790378006</v>
      </c>
      <c r="AM18" s="874">
        <f>IF(ISNUMBER(((NºAsuntos!I18/NºAsuntos!G18)*11)/factor_trimestre),((NºAsuntos!I18/NºAsuntos!G18)*11)/factor_trimestre," - ")</f>
        <v>3.0283911671924288</v>
      </c>
      <c r="AN18" s="875">
        <f>IF(ISNUMBER('Resol  Asuntos'!D18/NºAsuntos!G18),'Resol  Asuntos'!D18/NºAsuntos!G18," - ")</f>
        <v>0.17034700315457413</v>
      </c>
      <c r="AO18" s="876">
        <f>IF(ISNUMBER((NºAsuntos!C18+NºAsuntos!E18)/NºAsuntos!G18),(NºAsuntos!C18+NºAsuntos!E18)/NºAsuntos!G18," - ")</f>
        <v>2.0031545741324921</v>
      </c>
      <c r="AP18" s="877" t="str">
        <f t="shared" si="2"/>
        <v xml:space="preserve"> - </v>
      </c>
      <c r="AQ18" s="877">
        <f>IF(ISNUMBER((H18-W18+K18)/(F18)),(H18-W18+K18)/(F18)," - ")</f>
        <v>-0.95770392749244715</v>
      </c>
      <c r="AR18" s="878">
        <f>IF(ISNUMBER((Datos!P18-Datos!Q18)/(Datos!R18-Datos!P18+Datos!Q18)),(Datos!P18-Datos!Q18)/(Datos!R18-Datos!P18+Datos!Q18)," - ")</f>
        <v>0.36170212765957449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333</v>
      </c>
      <c r="G19" s="821">
        <f t="shared" si="13"/>
        <v>346</v>
      </c>
      <c r="H19" s="820">
        <f t="shared" si="13"/>
        <v>0</v>
      </c>
      <c r="I19" s="822">
        <f t="shared" si="13"/>
        <v>0</v>
      </c>
      <c r="J19" s="822">
        <f t="shared" si="13"/>
        <v>0</v>
      </c>
      <c r="K19" s="881">
        <f t="shared" si="13"/>
        <v>0</v>
      </c>
      <c r="L19" s="822">
        <f t="shared" si="13"/>
        <v>141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318</v>
      </c>
      <c r="X19" s="821">
        <f t="shared" si="14"/>
        <v>98</v>
      </c>
      <c r="Y19" s="828">
        <f t="shared" si="14"/>
        <v>416</v>
      </c>
      <c r="Z19" s="828">
        <f t="shared" si="14"/>
        <v>0</v>
      </c>
      <c r="AA19" s="828">
        <f t="shared" si="14"/>
        <v>322</v>
      </c>
      <c r="AB19" s="828">
        <f t="shared" si="14"/>
        <v>1245</v>
      </c>
      <c r="AC19" s="828">
        <f t="shared" si="14"/>
        <v>386</v>
      </c>
      <c r="AD19" s="828">
        <f t="shared" si="14"/>
        <v>0</v>
      </c>
      <c r="AE19" s="830">
        <f t="shared" si="14"/>
        <v>0</v>
      </c>
      <c r="AF19" s="831">
        <f t="shared" si="14"/>
        <v>0</v>
      </c>
      <c r="AG19" s="832">
        <f t="shared" si="14"/>
        <v>0</v>
      </c>
      <c r="AH19" s="830">
        <f t="shared" si="14"/>
        <v>0</v>
      </c>
      <c r="AI19" s="820">
        <f t="shared" si="14"/>
        <v>174</v>
      </c>
      <c r="AJ19" s="820">
        <f t="shared" si="14"/>
        <v>0</v>
      </c>
      <c r="AK19" s="830">
        <f t="shared" si="14"/>
        <v>0</v>
      </c>
      <c r="AL19" s="884">
        <f>IF(ISNUMBER(NºAsuntos!G19/NºAsuntos!E19),NºAsuntos!G19/NºAsuntos!E19," - ")</f>
        <v>1.0675039246467819</v>
      </c>
      <c r="AM19" s="885">
        <f>IF(ISNUMBER(((NºAsuntos!I19/NºAsuntos!G19)*11)/factor_trimestre),((NºAsuntos!I19/NºAsuntos!G19)*11)/factor_trimestre," - ")</f>
        <v>3.9573529411764707</v>
      </c>
      <c r="AN19" s="885">
        <f>IF(ISNUMBER('Resol  Asuntos'!D19/NºAsuntos!G19),'Resol  Asuntos'!D19/NºAsuntos!G19," - ")</f>
        <v>0.25588235294117645</v>
      </c>
      <c r="AO19" s="886">
        <f>IF(ISNUMBER((NºAsuntos!C19+NºAsuntos!E19)/NºAsuntos!G19),(NºAsuntos!C19+NºAsuntos!E19)/NºAsuntos!G19," - ")</f>
        <v>2.3161764705882355</v>
      </c>
      <c r="AP19" s="887" t="str">
        <f t="shared" si="2"/>
        <v xml:space="preserve"> - </v>
      </c>
      <c r="AQ19" s="888">
        <f>IF(OR(ISNUMBER(FIND("01",Criterios!A8,1)),ISNUMBER(FIND("02",Criterios!A8,1)),ISNUMBER(FIND("03",Criterios!A8,1)),ISNUMBER(FIND("04",Criterios!A8,1))),(I19-W19+K19)/(F19-K19),(H19-W19+K19)/(F19-K19))</f>
        <v>-0.95495495495495497</v>
      </c>
      <c r="AR19" s="889">
        <f>IF(ISNUMBER((Datos!P19-Datos!Q19)/(Datos!R19-Datos!P19+Datos!Q19)),(Datos!P19-Datos!Q19)/(Datos!R19-Datos!P19+Datos!Q19)," - ")</f>
        <v>3.5773710482529121E-2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189.94823856338689</v>
      </c>
      <c r="G21" s="253">
        <f>IF(ISNUMBER(STDEV(G8:G18)),STDEV(G8:G18),"-")</f>
        <v>180.99530380648002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157.99430369478515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53.182703955327433</v>
      </c>
      <c r="AJ21" s="252">
        <f t="shared" si="18"/>
        <v>0</v>
      </c>
      <c r="AK21" s="254">
        <f t="shared" si="18"/>
        <v>0</v>
      </c>
      <c r="AL21" s="249">
        <f t="shared" si="18"/>
        <v>4.3138426940678209E-2</v>
      </c>
      <c r="AM21" s="250">
        <f t="shared" si="18"/>
        <v>1.7815584388455519</v>
      </c>
      <c r="AN21" s="250">
        <f t="shared" si="18"/>
        <v>0.13222247912692778</v>
      </c>
      <c r="AO21" s="251">
        <f t="shared" si="18"/>
        <v>0.59480351246935181</v>
      </c>
      <c r="AP21" s="291" t="str">
        <f t="shared" si="18"/>
        <v>-</v>
      </c>
      <c r="AQ21" s="292">
        <f t="shared" si="18"/>
        <v>0.32364555090562519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7BPAFdF61tq/C3imbzVziDy5pTJRf0OGKKWK23l2NzqTa08FHT1nEdcY4EbT5xqd9GCyZZ5spCuw83U9lHMA==" saltValue="bawbcEFzsTsQCkD7rn6A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FRAGA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0.6216216216216216</v>
      </c>
      <c r="I12" s="350">
        <f>IF(ISNUMBER((Tasas!C12-Datos!BE12)/Datos!BE12),(Tasas!C12-Datos!BE12)/Datos!BE12," - ")</f>
        <v>-8.6040954134876751E-2</v>
      </c>
      <c r="J12" s="349">
        <f>IF(ISNUMBER((Tasas!D12-Datos!BF12)/Datos!BF12),(Tasas!D12-Datos!BF12)/Datos!BF12," - ")</f>
        <v>-4.8192112028882413E-2</v>
      </c>
      <c r="K12" s="351">
        <f>IF(ISNUMBER((Tasas!E12-Datos!BG12)/Datos!BG12),(Tasas!E12-Datos!BG12)/Datos!BG12," - ")</f>
        <v>-5.4615416730450651E-2</v>
      </c>
      <c r="M12" t="e">
        <f>IF(Monitorios="SI",Datos!CE12,0)</f>
        <v>#REF!</v>
      </c>
      <c r="N12" t="e">
        <f>IF(Monitorios="SI",Datos!CF12,0)</f>
        <v>#REF!</v>
      </c>
      <c r="O12" t="e">
        <f>IF(Monitorios="SI",Datos!CG12,0)</f>
        <v>#REF!</v>
      </c>
      <c r="P12" t="e">
        <f>IF(Monitorios="SI",Datos!CH12,0)</f>
        <v>#REF!</v>
      </c>
      <c r="Q12">
        <f>IF(J_V="SI",0,Datos!AG12)</f>
        <v>4</v>
      </c>
      <c r="R12">
        <f>IF(J_V="SI",0,Datos!AH12)</f>
        <v>13</v>
      </c>
      <c r="S12">
        <f>IF(J_V="SI",0,Datos!AI12)</f>
        <v>10</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0.6216216216216216</v>
      </c>
      <c r="I13" s="357">
        <f>IF(ISNUMBER((Tasas!C13-Datos!BE13)/Datos!BE13),(Tasas!C13-Datos!BE13)/Datos!BE13," - ")</f>
        <v>-9.2590182425543913E-2</v>
      </c>
      <c r="J13" s="355">
        <f>IF(ISNUMBER((Tasas!D13-Datos!BF13)/Datos!BF13),(Tasas!D13-Datos!BF13)/Datos!BF13," - ")</f>
        <v>-5.0814172326323445E-2</v>
      </c>
      <c r="K13" s="358">
        <f>IF(ISNUMBER((Tasas!E13-Datos!BG13)/Datos!BG13),(Tasas!E13-Datos!BG13)/Datos!BG13," - ")</f>
        <v>-5.8942121143078077E-2</v>
      </c>
      <c r="M13" t="e">
        <f>IF(Monitorios="SI",Datos!CE13,0)</f>
        <v>#REF!</v>
      </c>
      <c r="N13" t="e">
        <f>IF(Monitorios="SI",Datos!CF13,0)</f>
        <v>#REF!</v>
      </c>
      <c r="O13" t="e">
        <f>IF(Monitorios="SI",Datos!CG13,0)</f>
        <v>#REF!</v>
      </c>
      <c r="P13" t="e">
        <f>IF(Monitorios="SI",Datos!CH13,0)</f>
        <v>#REF!</v>
      </c>
      <c r="Q13">
        <f>IF(J_V="SI",0,Datos!AG13)</f>
        <v>4</v>
      </c>
      <c r="R13">
        <f>IF(J_V="SI",0,Datos!AH13)</f>
        <v>13</v>
      </c>
      <c r="S13">
        <f>IF(J_V="SI",0,Datos!AI13)</f>
        <v>10</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-1.4970059880239521E-2</v>
      </c>
      <c r="E16" s="348">
        <f>IF(ISNUMBER(
   IF(D_I="SI",(Datos!J16-Datos!T16)/Datos!T16,(Datos!J16+Datos!AD16-(Datos!T16+Datos!AL16))/(Datos!T16+Datos!AL16))
     ),IF(D_I="SI",(Datos!J16-Datos!T16)/Datos!T16,(Datos!J16+Datos!AD16-(Datos!T16+Datos!AL16))/(Datos!T16+Datos!AL16))," - ")</f>
        <v>-2.6315789473684209E-2</v>
      </c>
      <c r="F16" s="348">
        <f>IF(ISNUMBER(
   IF(D_I="SI",(Datos!K16-Datos!U16)/Datos!U16,(Datos!K16+Datos!AE16-(Datos!U16+Datos!AM16))/(Datos!U16+Datos!AM16))
     ),IF(D_I="SI",(Datos!K16-Datos!U16)/Datos!U16,(Datos!K16+Datos!AE16-(Datos!U16+Datos!AM16))/(Datos!U16+Datos!AM16))," - ")</f>
        <v>-5.7046979865771813E-2</v>
      </c>
      <c r="G16" s="349">
        <f>IF(ISNUMBER(
   IF(D_I="SI",(Datos!L16-Datos!V16)/Datos!V16,(Datos!L16+Datos!AF16-(Datos!V16+Datos!AN16))/(Datos!V16+Datos!AN16))
     ),IF(D_I="SI",(Datos!L16-Datos!V16)/Datos!V16,(Datos!L16+Datos!AF16-(Datos!V16+Datos!AN16))/(Datos!V16+Datos!AN16))," - ")</f>
        <v>-3.2258064516129032E-3</v>
      </c>
      <c r="H16" s="230">
        <f>IF(ISNUMBER((Datos!M16-Datos!W16)/Datos!W16),(Datos!M16-Datos!W16)/Datos!W16," - ")</f>
        <v>-0.17741935483870969</v>
      </c>
      <c r="I16" s="350">
        <f>IF(ISNUMBER((Tasas!C16-Datos!BE16)/Datos!BE16),(Tasas!C16-Datos!BE16)/Datos!BE16," - ")</f>
        <v>5.7077258638503006E-2</v>
      </c>
      <c r="J16" s="349">
        <f>IF(ISNUMBER((Tasas!D16-Datos!BF16)/Datos!BF16),(Tasas!D16-Datos!BF16)/Datos!BF16," - ")</f>
        <v>-0.12765468947308004</v>
      </c>
      <c r="K16" s="351">
        <f>IF(ISNUMBER((Tasas!E16-Datos!BG16)/Datos!BG16),(Tasas!E16-Datos!BG16)/Datos!BG16," - ")</f>
        <v>3.9288256227757862E-2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-0.42307692307692307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1.1176470588235294</v>
      </c>
      <c r="G17" s="349">
        <f>IF(ISNUMBER(
   IF(D_I="SI",(Datos!L17-Datos!V17)/Datos!V17,(Datos!L17+Datos!AF17-(Datos!V17+Datos!AN17))/(Datos!V17+Datos!AN17))
     ),IF(D_I="SI",(Datos!L17-Datos!V17)/Datos!V17,(Datos!L17+Datos!AF17-(Datos!V17+Datos!AN17))/(Datos!V17+Datos!AN17))," - ")</f>
        <v>-0.47619047619047616</v>
      </c>
      <c r="H17" s="230">
        <f>IF(ISNUMBER((Datos!M17-Datos!W17)/Datos!W17),(Datos!M17-Datos!W17)/Datos!W17," - ")</f>
        <v>2</v>
      </c>
      <c r="I17" s="350">
        <f>IF(ISNUMBER((Tasas!C17-Datos!BE17)/Datos!BE17),(Tasas!C17-Datos!BE17)/Datos!BE17," - ")</f>
        <v>-0.75264550264550267</v>
      </c>
      <c r="J17" s="349">
        <f>IF(ISNUMBER((Tasas!D17-Datos!BF17)/Datos!BF17),(Tasas!D17-Datos!BF17)/Datos!BF17," - ")</f>
        <v>0.41666666666666663</v>
      </c>
      <c r="K17" s="351">
        <f>IF(ISNUMBER((Tasas!E17-Datos!BG17)/Datos!BG17),(Tasas!E17-Datos!BG17)/Datos!BG17," - ")</f>
        <v>-0.41593567251461988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-4.4444444444444446E-2</v>
      </c>
      <c r="E18" s="354">
        <f>IF(ISNUMBER(
   IF(D_I="SI",(Datos!J18-Datos!T18)/Datos!T18,(Datos!J18+Datos!AD18-(Datos!T18+Datos!AL18))/(Datos!T18+Datos!AL18))
     ),IF(D_I="SI",(Datos!J18-Datos!T18)/Datos!T18,(Datos!J18+Datos!AD18-(Datos!T18+Datos!AL18))/(Datos!T18+Datos!AL18))," - ")</f>
        <v>4.6762589928057555E-2</v>
      </c>
      <c r="F18" s="354">
        <f>IF(ISNUMBER(
   IF(D_I="SI",(Datos!K18-Datos!U18)/Datos!U18,(Datos!K18+Datos!AE18-(Datos!U18+Datos!AM18))/(Datos!U18+Datos!AM18))
     ),IF(D_I="SI",(Datos!K18-Datos!U18)/Datos!U18,(Datos!K18+Datos!AE18-(Datos!U18+Datos!AM18))/(Datos!U18+Datos!AM18))," - ")</f>
        <v>6.3492063492063492E-3</v>
      </c>
      <c r="G18" s="355">
        <f>IF(ISNUMBER(
   IF(D_I="SI",(Datos!L18-Datos!V18)/Datos!V18,(Datos!L18+Datos!AF18-(Datos!V18+Datos!AN18))/(Datos!V18+Datos!AN18))
     ),IF(D_I="SI",(Datos!L18-Datos!V18)/Datos!V18,(Datos!L18+Datos!AF18-(Datos!V18+Datos!AN18))/(Datos!V18+Datos!AN18))," - ")</f>
        <v>-3.3232628398791542E-2</v>
      </c>
      <c r="H18" s="356">
        <f>IF(ISNUMBER((Datos!M18-Datos!W18)/Datos!W18),(Datos!M18-Datos!W18)/Datos!W18," - ")</f>
        <v>-0.14285714285714285</v>
      </c>
      <c r="I18" s="357">
        <f>IF(ISNUMBER((Tasas!C18-Datos!BE18)/Datos!BE18),(Tasas!C18-Datos!BE18)/Datos!BE18," - ")</f>
        <v>-3.9332107083972757E-2</v>
      </c>
      <c r="J18" s="355">
        <f>IF(ISNUMBER((Tasas!D18-Datos!BF18)/Datos!BF18),(Tasas!D18-Datos!BF18)/Datos!BF18," - ")</f>
        <v>-0.14826498422712941</v>
      </c>
      <c r="K18" s="358">
        <f>IF(ISNUMBER((Tasas!E18-Datos!BG18)/Datos!BG18),(Tasas!E18-Datos!BG18)/Datos!BG18," - ")</f>
        <v>-1.0981675780979566E-2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8.5648148148148154E-2</v>
      </c>
      <c r="E19" s="363">
        <f>IF(ISNUMBER(
   IF(J_V="SI",(Datos!J19-Datos!T19)/Datos!T19,(Datos!J19+Datos!Z19-(Datos!T19+Datos!AH19))/(Datos!T19+Datos!AH19))
     ),IF(J_V="SI",(Datos!J19-Datos!T19)/Datos!T19,(Datos!J19+Datos!Z19-(Datos!T19+Datos!AH19))/(Datos!T19+Datos!AH19))," - ")</f>
        <v>0.11363636363636363</v>
      </c>
      <c r="F19" s="363">
        <f>IF(ISNUMBER(
   IF(J_V="SI",(Datos!K19-Datos!U19)/Datos!U19,(Datos!K19+Datos!AA19-(Datos!U19+Datos!AI19))/(Datos!U19+Datos!AI19))
     ),IF(J_V="SI",(Datos!K19-Datos!U19)/Datos!U19,(Datos!K19+Datos!AA19-(Datos!U19+Datos!AI19))/(Datos!U19+Datos!AI19))," - ")</f>
        <v>0.12396694214876033</v>
      </c>
      <c r="G19" s="364">
        <f>IF(ISNUMBER(
   IF(J_V="SI",(Datos!L19-Datos!V19)/Datos!V19,(Datos!L19+Datos!AB19-(Datos!V19+Datos!AJ19))/(Datos!V19+Datos!AJ19))
     ),IF(J_V="SI",(Datos!L19-Datos!V19)/Datos!V19,(Datos!L19+Datos!AB19-(Datos!V19+Datos!AJ19))/(Datos!V19+Datos!AJ19))," - ")</f>
        <v>6.9129916567342076E-2</v>
      </c>
      <c r="H19" s="365">
        <f>IF(ISNUMBER((Datos!M19-Datos!W19)/Datos!W19),(Datos!M19-Datos!W19)/Datos!W19," - ")</f>
        <v>0.27007299270072993</v>
      </c>
      <c r="I19" s="362">
        <f>IF(ISNUMBER((Tasas!C19-Datos!BE19)/Datos!BE19),(Tasas!C19-Datos!BE19)/Datos!BE19," - ")</f>
        <v>-4.8788824230526613E-2</v>
      </c>
      <c r="J19" s="363">
        <f>IF(ISNUMBER((Tasas!D19-Datos!BF19)/Datos!BF19),(Tasas!D19-Datos!BF19)/Datos!BF19," - ")</f>
        <v>-5.6043758967001422E-2</v>
      </c>
      <c r="K19" s="364">
        <f>IF(ISNUMBER((Tasas!E19-Datos!BG19)/Datos!BG19),(Tasas!E19-Datos!BG19)/Datos!BG19," - ")</f>
        <v>-2.4173562182533019E-2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0.25157579569957189</v>
      </c>
      <c r="E21" s="278">
        <f t="shared" si="1"/>
        <v>0.95704573768876267</v>
      </c>
      <c r="F21" s="278">
        <f t="shared" si="1"/>
        <v>0.66066987190689375</v>
      </c>
      <c r="G21" s="279">
        <f t="shared" si="1"/>
        <v>0.27172763862244953</v>
      </c>
      <c r="H21" s="285">
        <f t="shared" si="1"/>
        <v>0.88260491622193249</v>
      </c>
      <c r="I21" s="277">
        <f t="shared" si="1"/>
        <v>0.32417129447167864</v>
      </c>
      <c r="J21" s="278">
        <f t="shared" si="1"/>
        <v>0.23261848530554824</v>
      </c>
      <c r="K21" s="279">
        <f t="shared" si="1"/>
        <v>0.18089089096307068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M/HtB3NkXXKniAumJdUPN4BN6F9lVDpFfcoKDUCgEIYJFjO8cOBuZR8cvDQTVjKTsB4+mQ+LJJ/hqrrHj3yww==" saltValue="rIvQ/EFCcUZAEhA7hxmr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17.472375690607734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331</v>
      </c>
      <c r="D16" s="225">
        <f>IF(ISNUMBER(IF(D_I="SI",Datos!I16,Datos!I16+Datos!AC16)),IF(D_I="SI",Datos!I16,Datos!I16+Datos!AC16)," - ")</f>
        <v>329</v>
      </c>
      <c r="E16" s="226">
        <f>IF(ISNUMBER(IF(D_I="SI",Datos!J16,Datos!J16+Datos!AD16)),IF(D_I="SI",Datos!J16,Datos!J16+Datos!AD16)," - ")</f>
        <v>259</v>
      </c>
      <c r="F16" s="226">
        <f>IF(ISNUMBER(IF(D_I="SI",Datos!K16,Datos!K16+Datos!AE16)),IF(D_I="SI",Datos!K16,Datos!K16+Datos!AE16)," - ")</f>
        <v>281</v>
      </c>
      <c r="G16" s="1034" t="str">
        <f>IF(Datos!E16&lt;&gt;"",Datos!E16,Datos!D16)</f>
        <v>04</v>
      </c>
      <c r="H16" s="227">
        <f>IF(ISNUMBER(IF(D_I="SI",Datos!L16,Datos!L16+Datos!AF16)),IF(D_I="SI",Datos!L16,Datos!L16+Datos!AF16)," - ")</f>
        <v>309</v>
      </c>
      <c r="I16" s="1044" t="str">
        <f>IF(ISNUMBER(Datos!AS16/Datos!BM16),Datos!AS16/Datos!BM16," - ")</f>
        <v xml:space="preserve"> - </v>
      </c>
      <c r="J16" s="1045">
        <f>IF(ISNUMBER(Datos!BY16/Datos!CN16),Datos!BY16/Datos!CN16," - ")</f>
        <v>0</v>
      </c>
      <c r="K16" s="230">
        <f t="shared" si="3"/>
        <v>-6.6465256797583083E-2</v>
      </c>
      <c r="L16" s="1025">
        <f>IF(ISNUMBER(NºAsuntos!I16/NºAsuntos!G16),(NºAsuntos!I16/NºAsuntos!G16)*11," - ")</f>
        <v>12.096085409252668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32</v>
      </c>
      <c r="F17" s="226">
        <f>IF(ISNUMBER(IF(D_I="SI",Datos!K17,Datos!K17+Datos!AE17)),IF(D_I="SI",Datos!K17,Datos!K17+Datos!AE17)," - ")</f>
        <v>36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3.3611111111111116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346</v>
      </c>
      <c r="D18" s="1049">
        <f>SUBTOTAL(9,D15:D17)</f>
        <v>344</v>
      </c>
      <c r="E18" s="1050">
        <f>SUBTOTAL(9,E15:E17)</f>
        <v>291</v>
      </c>
      <c r="F18" s="1050">
        <f>SUBTOTAL(9,F15:F17)</f>
        <v>317</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348</v>
      </c>
      <c r="D19" s="1071">
        <f>SUBTOTAL(9,D9:D18)</f>
        <v>346</v>
      </c>
      <c r="E19" s="1072">
        <f>SUBTOTAL(9,E9:E18)</f>
        <v>292</v>
      </c>
      <c r="F19" s="1072">
        <f>SUBTOTAL(9,F9:F18)</f>
        <v>318</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2GoLCjDTFZGqKGK5AYIAZevJNJrfTb1cBu7ud6gMLNM3hDWns1v99vrVsJO7e7e7LWUBsxaFJad8b0J2AwzbA==" saltValue="6A5YYWI/+mnoehTWvP1u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BxSMbDnQfAEAaQxVw8iMpGKImaWJ2o7QwH9oF8cm0dthSVSZBBkTHunoFRBUsNkdviiN+YQ9bXtPoQ6JzvW2g==" saltValue="wl1q+gkbu9tGkSgA1O/o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0</v>
      </c>
      <c r="N10" s="181">
        <v>1</v>
      </c>
      <c r="O10" s="181">
        <v>0</v>
      </c>
      <c r="P10" s="181">
        <v>0</v>
      </c>
      <c r="Q10" s="181">
        <v>0</v>
      </c>
      <c r="R10" s="181">
        <v>0</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586</v>
      </c>
      <c r="J12" s="183">
        <v>333</v>
      </c>
      <c r="K12" s="183">
        <v>353</v>
      </c>
      <c r="L12" s="183">
        <v>566</v>
      </c>
      <c r="M12" s="183">
        <v>120</v>
      </c>
      <c r="N12" s="183">
        <v>132</v>
      </c>
      <c r="O12" s="181">
        <v>133</v>
      </c>
      <c r="P12" s="183">
        <v>112</v>
      </c>
      <c r="Q12" s="183">
        <v>86</v>
      </c>
      <c r="R12" s="183">
        <v>1181</v>
      </c>
      <c r="S12" s="183">
        <v>496</v>
      </c>
      <c r="T12" s="183">
        <v>281</v>
      </c>
      <c r="U12" s="183">
        <v>280</v>
      </c>
      <c r="V12" s="183">
        <v>497</v>
      </c>
      <c r="W12" s="183">
        <v>74</v>
      </c>
      <c r="X12" s="189">
        <v>101</v>
      </c>
      <c r="Y12" s="191">
        <v>6</v>
      </c>
      <c r="Z12" s="181">
        <v>12</v>
      </c>
      <c r="AA12" s="181">
        <v>9</v>
      </c>
      <c r="AB12" s="181">
        <v>9</v>
      </c>
      <c r="AC12" s="183">
        <v>0</v>
      </c>
      <c r="AD12" s="183">
        <v>0</v>
      </c>
      <c r="AE12" s="183">
        <v>0</v>
      </c>
      <c r="AF12" s="189">
        <v>0</v>
      </c>
      <c r="AG12" s="202">
        <v>4</v>
      </c>
      <c r="AH12" s="183">
        <v>13</v>
      </c>
      <c r="AI12" s="183">
        <v>10</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500</v>
      </c>
      <c r="AZ12" s="127">
        <f t="shared" si="1"/>
        <v>294</v>
      </c>
      <c r="BA12" s="127">
        <f t="shared" si="1"/>
        <v>290</v>
      </c>
      <c r="BB12" s="127">
        <f t="shared" si="1"/>
        <v>504</v>
      </c>
      <c r="BC12" s="125">
        <f>IF(ISNUMBER(X12),X12," - ")</f>
        <v>101</v>
      </c>
      <c r="BD12" s="126">
        <f t="shared" si="2"/>
        <v>0.98639455782312924</v>
      </c>
      <c r="BE12" s="127">
        <f t="shared" si="3"/>
        <v>1.7379310344827585</v>
      </c>
      <c r="BF12" s="127">
        <f t="shared" si="4"/>
        <v>0.34827586206896549</v>
      </c>
      <c r="BG12" s="196">
        <f t="shared" si="5"/>
        <v>2.7379310344827585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588</v>
      </c>
      <c r="J13" s="184">
        <f t="shared" si="6"/>
        <v>334</v>
      </c>
      <c r="K13" s="184">
        <f t="shared" si="6"/>
        <v>354</v>
      </c>
      <c r="L13" s="184">
        <f t="shared" si="6"/>
        <v>568</v>
      </c>
      <c r="M13" s="184">
        <f t="shared" si="6"/>
        <v>120</v>
      </c>
      <c r="N13" s="184">
        <f t="shared" si="6"/>
        <v>133</v>
      </c>
      <c r="O13" s="184">
        <f t="shared" si="6"/>
        <v>133</v>
      </c>
      <c r="P13" s="184">
        <f t="shared" si="6"/>
        <v>112</v>
      </c>
      <c r="Q13" s="184">
        <f t="shared" si="6"/>
        <v>86</v>
      </c>
      <c r="R13" s="184">
        <f t="shared" si="6"/>
        <v>1181</v>
      </c>
      <c r="S13" s="184">
        <f t="shared" si="6"/>
        <v>500</v>
      </c>
      <c r="T13" s="184">
        <f t="shared" si="6"/>
        <v>281</v>
      </c>
      <c r="U13" s="184">
        <f t="shared" si="6"/>
        <v>280</v>
      </c>
      <c r="V13" s="184">
        <f t="shared" si="6"/>
        <v>501</v>
      </c>
      <c r="W13" s="184">
        <f t="shared" si="6"/>
        <v>74</v>
      </c>
      <c r="X13" s="184">
        <f t="shared" si="6"/>
        <v>101</v>
      </c>
      <c r="Y13" s="184">
        <f t="shared" si="6"/>
        <v>6</v>
      </c>
      <c r="Z13" s="184">
        <f t="shared" si="6"/>
        <v>12</v>
      </c>
      <c r="AA13" s="184">
        <f t="shared" si="6"/>
        <v>9</v>
      </c>
      <c r="AB13" s="184">
        <f t="shared" si="6"/>
        <v>9</v>
      </c>
      <c r="AC13" s="184">
        <f t="shared" si="6"/>
        <v>0</v>
      </c>
      <c r="AD13" s="184">
        <f t="shared" si="6"/>
        <v>0</v>
      </c>
      <c r="AE13" s="184">
        <f t="shared" si="6"/>
        <v>0</v>
      </c>
      <c r="AF13" s="184">
        <f>SUBTOTAL(9,AF9:AF12)</f>
        <v>0</v>
      </c>
      <c r="AG13" s="184">
        <f t="shared" ref="AG13:AT13" si="7">SUBTOTAL(9,AG8:AG12)</f>
        <v>4</v>
      </c>
      <c r="AH13" s="184">
        <f t="shared" si="7"/>
        <v>13</v>
      </c>
      <c r="AI13" s="184">
        <f t="shared" si="7"/>
        <v>10</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504</v>
      </c>
      <c r="AZ13" s="184">
        <f>SUBTOTAL(9,AZ8:AZ12)</f>
        <v>294</v>
      </c>
      <c r="BA13" s="184">
        <f>SUBTOTAL(9,BA8:BA12)</f>
        <v>290</v>
      </c>
      <c r="BB13" s="184">
        <f>SUBTOTAL(9,BB8:BB12)</f>
        <v>508</v>
      </c>
      <c r="BC13" s="184">
        <f>SUBTOTAL(9,BC8:BC12)</f>
        <v>101</v>
      </c>
      <c r="BD13" s="205">
        <f>IF(ISNUMBER(BA13/AZ13),BA13/AZ13," - ")</f>
        <v>0.98639455782312924</v>
      </c>
      <c r="BE13" s="206">
        <f>IF(ISNUMBER(BB13/BA13),BB13/BA13, " - ")</f>
        <v>1.7517241379310344</v>
      </c>
      <c r="BF13" s="206">
        <f>IF(ISNUMBER(BC13/BA13),BC13/BA13, " - ")</f>
        <v>0.34827586206896549</v>
      </c>
      <c r="BG13" s="207">
        <f>IF(ISNUMBER((AY13+AZ13)/BA13),(AY13+AZ13)/BA13," - ")</f>
        <v>2.7517241379310344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329</v>
      </c>
      <c r="J16" s="183">
        <v>259</v>
      </c>
      <c r="K16" s="183">
        <v>281</v>
      </c>
      <c r="L16" s="183">
        <v>309</v>
      </c>
      <c r="M16" s="183">
        <v>51</v>
      </c>
      <c r="N16" s="183">
        <v>141</v>
      </c>
      <c r="O16" s="181">
        <v>0</v>
      </c>
      <c r="P16" s="183">
        <v>29</v>
      </c>
      <c r="Q16" s="183">
        <v>12</v>
      </c>
      <c r="R16" s="183">
        <v>64</v>
      </c>
      <c r="S16" s="183">
        <v>334</v>
      </c>
      <c r="T16" s="183">
        <v>266</v>
      </c>
      <c r="U16" s="183">
        <v>298</v>
      </c>
      <c r="V16" s="183">
        <v>310</v>
      </c>
      <c r="W16" s="183">
        <v>62</v>
      </c>
      <c r="X16" s="189">
        <v>146</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334</v>
      </c>
      <c r="AZ16" s="127">
        <f t="shared" si="9"/>
        <v>266</v>
      </c>
      <c r="BA16" s="127">
        <f t="shared" si="9"/>
        <v>298</v>
      </c>
      <c r="BB16" s="127">
        <f t="shared" si="9"/>
        <v>310</v>
      </c>
      <c r="BC16" s="125">
        <f>IF(ISNUMBER(W16),W16," - ")</f>
        <v>62</v>
      </c>
      <c r="BD16" s="126">
        <f t="shared" ref="BD16" si="11">IF(ISNUMBER(BA16/AZ16),BA16/AZ16," - ")</f>
        <v>1.1203007518796992</v>
      </c>
      <c r="BE16" s="127">
        <f t="shared" ref="BE16" si="12">IF(ISNUMBER(BB16/BA16),BB16/BA16, " - ")</f>
        <v>1.0402684563758389</v>
      </c>
      <c r="BF16" s="127">
        <f t="shared" ref="BF16" si="13">IF(ISNUMBER(BC16/BA16),BC16/BA16, " - ")</f>
        <v>0.20805369127516779</v>
      </c>
      <c r="BG16" s="196">
        <f t="shared" si="10"/>
        <v>2.0134228187919465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32</v>
      </c>
      <c r="K17" s="183">
        <v>36</v>
      </c>
      <c r="L17" s="183">
        <v>11</v>
      </c>
      <c r="M17" s="183">
        <v>3</v>
      </c>
      <c r="N17" s="183">
        <v>18</v>
      </c>
      <c r="O17" s="183">
        <v>0</v>
      </c>
      <c r="P17" s="183">
        <v>0</v>
      </c>
      <c r="Q17" s="183">
        <v>0</v>
      </c>
      <c r="R17" s="183">
        <v>0</v>
      </c>
      <c r="S17" s="183">
        <v>26</v>
      </c>
      <c r="T17" s="183">
        <v>12</v>
      </c>
      <c r="U17" s="183">
        <v>17</v>
      </c>
      <c r="V17" s="183">
        <v>21</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12</v>
      </c>
      <c r="BA17" s="129">
        <f t="shared" si="14"/>
        <v>17</v>
      </c>
      <c r="BB17" s="129">
        <f t="shared" si="14"/>
        <v>21</v>
      </c>
      <c r="BC17" s="125">
        <f>IF(ISNUMBER(W17),W17," - ")</f>
        <v>1</v>
      </c>
      <c r="BD17" s="126">
        <f>IF(ISNUMBER(BA17/AZ17),BA17/AZ17," - ")</f>
        <v>1.4166666666666667</v>
      </c>
      <c r="BE17" s="127">
        <f>IF(ISNUMBER(BB17/BA17),BB17/BA17, " - ")</f>
        <v>1.2352941176470589</v>
      </c>
      <c r="BF17" s="127">
        <f>IF(ISNUMBER(BC17/BA17),BC17/BA17, " - ")</f>
        <v>5.8823529411764705E-2</v>
      </c>
      <c r="BG17" s="196">
        <f>IF(ISNUMBER((AY17+AZ17)/BA17),(AY17+AZ17)/BA17," - ")</f>
        <v>2.2352941176470589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344</v>
      </c>
      <c r="J18" s="184">
        <f t="shared" si="15"/>
        <v>291</v>
      </c>
      <c r="K18" s="184">
        <f t="shared" si="15"/>
        <v>317</v>
      </c>
      <c r="L18" s="184">
        <f t="shared" si="15"/>
        <v>320</v>
      </c>
      <c r="M18" s="184">
        <f t="shared" si="15"/>
        <v>54</v>
      </c>
      <c r="N18" s="184">
        <f t="shared" si="15"/>
        <v>159</v>
      </c>
      <c r="O18" s="184">
        <f t="shared" si="15"/>
        <v>0</v>
      </c>
      <c r="P18" s="184">
        <f t="shared" si="15"/>
        <v>29</v>
      </c>
      <c r="Q18" s="184">
        <f t="shared" si="15"/>
        <v>12</v>
      </c>
      <c r="R18" s="184">
        <f t="shared" si="15"/>
        <v>64</v>
      </c>
      <c r="S18" s="184">
        <f t="shared" si="15"/>
        <v>360</v>
      </c>
      <c r="T18" s="184">
        <f t="shared" si="15"/>
        <v>278</v>
      </c>
      <c r="U18" s="184">
        <f t="shared" si="15"/>
        <v>315</v>
      </c>
      <c r="V18" s="184">
        <f t="shared" si="15"/>
        <v>331</v>
      </c>
      <c r="W18" s="184">
        <f t="shared" si="15"/>
        <v>63</v>
      </c>
      <c r="X18" s="184">
        <f t="shared" si="15"/>
        <v>154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360</v>
      </c>
      <c r="AZ18" s="184">
        <f>SUBTOTAL(9,AZ14:AZ17)</f>
        <v>278</v>
      </c>
      <c r="BA18" s="184">
        <f>SUBTOTAL(9,BA14:BA17)</f>
        <v>315</v>
      </c>
      <c r="BB18" s="184">
        <f>SUBTOTAL(9,BB14:BB17)</f>
        <v>331</v>
      </c>
      <c r="BC18" s="184">
        <f>SUBTOTAL(9,BC14:BC17)</f>
        <v>63</v>
      </c>
      <c r="BD18" s="205">
        <f>IF(ISNUMBER(BA18/AZ18),BA18/AZ18," - ")</f>
        <v>1.1330935251798562</v>
      </c>
      <c r="BE18" s="206">
        <f>IF(ISNUMBER(BB18/BA18),BB18/BA18, " - ")</f>
        <v>1.0507936507936508</v>
      </c>
      <c r="BF18" s="206">
        <f>IF(ISNUMBER(BC18/BA18),BC18/BA18, " - ")</f>
        <v>0.2</v>
      </c>
      <c r="BG18" s="207">
        <f>IF(ISNUMBER((AY18+AZ18)/BA18),(AY18+AZ18)/BA18," - ")</f>
        <v>2.0253968253968253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932</v>
      </c>
      <c r="J19" s="134">
        <f t="shared" si="18"/>
        <v>625</v>
      </c>
      <c r="K19" s="134">
        <f t="shared" si="18"/>
        <v>671</v>
      </c>
      <c r="L19" s="134">
        <f t="shared" si="18"/>
        <v>888</v>
      </c>
      <c r="M19" s="134">
        <f t="shared" si="18"/>
        <v>174</v>
      </c>
      <c r="N19" s="134">
        <f t="shared" si="18"/>
        <v>292</v>
      </c>
      <c r="O19" s="134">
        <f t="shared" si="18"/>
        <v>133</v>
      </c>
      <c r="P19" s="134">
        <f t="shared" si="18"/>
        <v>141</v>
      </c>
      <c r="Q19" s="134">
        <f t="shared" si="18"/>
        <v>98</v>
      </c>
      <c r="R19" s="134">
        <f t="shared" si="18"/>
        <v>1245</v>
      </c>
      <c r="S19" s="134">
        <f t="shared" si="18"/>
        <v>860</v>
      </c>
      <c r="T19" s="134">
        <f t="shared" si="18"/>
        <v>559</v>
      </c>
      <c r="U19" s="134">
        <f t="shared" si="18"/>
        <v>595</v>
      </c>
      <c r="V19" s="134">
        <f t="shared" si="18"/>
        <v>832</v>
      </c>
      <c r="W19" s="134">
        <f t="shared" si="18"/>
        <v>137</v>
      </c>
      <c r="X19" s="134">
        <f t="shared" si="18"/>
        <v>255</v>
      </c>
      <c r="Y19" s="134">
        <f t="shared" si="18"/>
        <v>6</v>
      </c>
      <c r="Z19" s="134">
        <f t="shared" si="18"/>
        <v>12</v>
      </c>
      <c r="AA19" s="134">
        <f t="shared" si="18"/>
        <v>9</v>
      </c>
      <c r="AB19" s="134">
        <f t="shared" si="18"/>
        <v>9</v>
      </c>
      <c r="AC19" s="134">
        <f t="shared" si="18"/>
        <v>0</v>
      </c>
      <c r="AD19" s="134">
        <f t="shared" si="18"/>
        <v>0</v>
      </c>
      <c r="AE19" s="134">
        <f t="shared" si="18"/>
        <v>0</v>
      </c>
      <c r="AF19" s="134">
        <f t="shared" si="18"/>
        <v>0</v>
      </c>
      <c r="AG19" s="134">
        <f t="shared" si="18"/>
        <v>4</v>
      </c>
      <c r="AH19" s="134">
        <f t="shared" si="18"/>
        <v>13</v>
      </c>
      <c r="AI19" s="134">
        <f t="shared" si="18"/>
        <v>10</v>
      </c>
      <c r="AJ19" s="134">
        <f t="shared" si="18"/>
        <v>7</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864</v>
      </c>
      <c r="AZ19" s="134">
        <f>SUBTOTAL(9,AZ9:AZ18)</f>
        <v>572</v>
      </c>
      <c r="BA19" s="134">
        <f>SUBTOTAL(9,BA9:BA18)</f>
        <v>605</v>
      </c>
      <c r="BB19" s="134">
        <f>SUBTOTAL(9,BB9:BB18)</f>
        <v>839</v>
      </c>
      <c r="BC19" s="135">
        <f>SUBTOTAL(9,BC9:BC18)</f>
        <v>164</v>
      </c>
      <c r="BD19" s="213">
        <f>IF(ISNUMBER(BA19/AZ19),BA19/AZ19," - ")</f>
        <v>1.0576923076923077</v>
      </c>
      <c r="BE19" s="210">
        <f>IF(ISNUMBER(BB19/BA19),BB19/BA19, " - ")</f>
        <v>1.3867768595041323</v>
      </c>
      <c r="BF19" s="210">
        <f>IF(ISNUMBER(BC19/BA19),BC19/BA19, " - ")</f>
        <v>0.27107438016528923</v>
      </c>
      <c r="BG19" s="135">
        <f>IF(ISNUMBER((AY19+AZ19)/BA19),(AY19+AZ19)/BA19," - ")</f>
        <v>2.3735537190082643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NKg35NwKq4oNnVF2rlbmgEviippDOIB+DcIlJy2zikwv5P8jl+w4EJz4fXDxqTMJfQmiJbiBiAR02i3vN1n1A==" saltValue="A4uYvHyhGvVN1MUHDC2m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5wc7tM+B8roLX5pePofUQ5wqwpomJiZ9adN2nmm+H7qXULSmOzNqpV+R5rFXmmLyNBSpSt2cDsjLfYpkreOQ==" saltValue="YCpNsnA/kbHJpYJbUfmy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1.0492753623188407</v>
      </c>
      <c r="BH12" s="260">
        <f>IF(ISNUMBER(((IF(J_V="SI",Datos!L12/Datos!K12,(Datos!L12+Datos!AB12)/(Datos!K12+Datos!AA12)))*11)/factor_trimestre),((IF(J_V="SI",Datos!L12/Datos!K12,(Datos!L12+Datos!AB12)/(Datos!K12+Datos!AA12)))*11)/factor_trimestre," - ")</f>
        <v>4.7651933701657461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2.2510822510822513E-2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86</v>
      </c>
      <c r="AD13" s="899">
        <f t="shared" si="1"/>
        <v>0</v>
      </c>
      <c r="AE13" s="899">
        <f t="shared" si="1"/>
        <v>0</v>
      </c>
      <c r="AF13" s="899">
        <f t="shared" si="1"/>
        <v>2</v>
      </c>
      <c r="AG13" s="899">
        <f t="shared" si="1"/>
        <v>0</v>
      </c>
      <c r="AH13" s="899">
        <f t="shared" si="1"/>
        <v>9</v>
      </c>
      <c r="AI13" s="899">
        <f t="shared" si="1"/>
        <v>0</v>
      </c>
      <c r="AJ13" s="899">
        <f t="shared" si="1"/>
        <v>0</v>
      </c>
      <c r="AK13" s="899">
        <f t="shared" si="1"/>
        <v>0</v>
      </c>
      <c r="AL13" s="899">
        <f t="shared" si="1"/>
        <v>0</v>
      </c>
      <c r="AM13" s="899">
        <f t="shared" si="1"/>
        <v>1181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133</v>
      </c>
      <c r="BE13" s="899">
        <f t="shared" si="1"/>
        <v>0</v>
      </c>
      <c r="BF13" s="899">
        <f t="shared" si="1"/>
        <v>0</v>
      </c>
      <c r="BG13" s="899">
        <f>IF(ISNUMBER(Datos!K13/Datos!J13),Datos!K13/Datos!J13," - ")</f>
        <v>1.0598802395209581</v>
      </c>
      <c r="BH13" s="903">
        <f>IF(ISNUMBER(((Datos!L13/Datos!K13)*11)/factor_trimestre),((Datos!L13/Datos!K13)*11)/factor_trimestre," - ")</f>
        <v>4.8135593220338988</v>
      </c>
      <c r="BI13" s="899">
        <f>IF(ISNUMBER('Resol  Asuntos'!D13/NºAsuntos!G13),'Resol  Asuntos'!D13/NºAsuntos!G13," - ")</f>
        <v>0.33057851239669422</v>
      </c>
      <c r="BJ13" s="899" t="str">
        <f>IF(ISNUMBER(Datos!CI13/Datos!CJ13),Datos!CI13/Datos!CJ13," - ")</f>
        <v xml:space="preserve"> - </v>
      </c>
      <c r="BK13" s="899">
        <f>SUBTOTAL(9,BK8:BK12)</f>
        <v>0</v>
      </c>
      <c r="BL13" s="899">
        <f>IF(ISNUMBER((I13-AB13+L13)/(F13)),(I13-AB13+L13)/(F13)," - ")</f>
        <v>-0.5</v>
      </c>
      <c r="BM13" s="904">
        <f>SUBTOTAL(9,BM9:BM12)</f>
        <v>2.2510822510822513E-2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331</v>
      </c>
      <c r="G16" s="598">
        <f>IF(ISNUMBER(IF(D_I="SI",Datos!I16,Datos!I16+Datos!AC16)),IF(D_I="SI",Datos!I16,Datos!I16+Datos!AC16)," - ")</f>
        <v>329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281</v>
      </c>
      <c r="AC16" s="226">
        <f>IF(ISNUMBER(Datos!Q16),Datos!Q16," - ")</f>
        <v>12</v>
      </c>
      <c r="AD16" s="334"/>
      <c r="AE16" s="484"/>
      <c r="AF16" s="596">
        <f>IF(ISNUMBER(IF(D_I="SI",Datos!L16,Datos!L16+Datos!AF16)),IF(D_I="SI",Datos!L16,Datos!L16+Datos!AF16)," - ")</f>
        <v>309</v>
      </c>
      <c r="AG16" s="334"/>
      <c r="AH16" s="334"/>
      <c r="AI16" s="334"/>
      <c r="AJ16" s="334"/>
      <c r="AK16" s="334"/>
      <c r="AL16" s="479"/>
      <c r="AM16" s="335">
        <f>IF(ISNUMBER(Datos!R16),Datos!R16," - ")</f>
        <v>64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1.084942084942085</v>
      </c>
      <c r="BH16" s="260">
        <f>IF(ISNUMBER(((IF(D_I="SI",Datos!L16/Datos!K16,(Datos!L16+Datos!AF16)/(Datos!K16+Datos!AE16)))*11)/factor_trimestre),((IF(D_I="SI",Datos!L16/Datos!K16,(Datos!L16+Datos!AF16)/(Datos!K16+Datos!AE16)))*11)/factor_trimestre," - ")</f>
        <v>3.2989323843416369</v>
      </c>
      <c r="BI16" s="243">
        <f>IF(ISNUMBER('Resol  Asuntos'!D16/NºAsuntos!G16),'Resol  Asuntos'!D16/NºAsuntos!G16," - ")</f>
        <v>0.18149466192170818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0.91666666666666685</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331</v>
      </c>
      <c r="G18" s="898">
        <f>SUBTOTAL(9,G15:G17)</f>
        <v>344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317</v>
      </c>
      <c r="AC18" s="899">
        <f t="shared" si="4"/>
        <v>12</v>
      </c>
      <c r="AD18" s="899">
        <f t="shared" si="4"/>
        <v>0</v>
      </c>
      <c r="AE18" s="899">
        <f t="shared" si="4"/>
        <v>0</v>
      </c>
      <c r="AF18" s="899">
        <f t="shared" si="4"/>
        <v>320</v>
      </c>
      <c r="AG18" s="899">
        <f t="shared" si="4"/>
        <v>0</v>
      </c>
      <c r="AH18" s="899">
        <f t="shared" si="4"/>
        <v>0</v>
      </c>
      <c r="AI18" s="899">
        <f t="shared" si="4"/>
        <v>0</v>
      </c>
      <c r="AJ18" s="899">
        <f t="shared" si="4"/>
        <v>0</v>
      </c>
      <c r="AK18" s="899">
        <f t="shared" si="4"/>
        <v>0</v>
      </c>
      <c r="AL18" s="899">
        <f t="shared" si="4"/>
        <v>0</v>
      </c>
      <c r="AM18" s="899">
        <f t="shared" si="4"/>
        <v>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159</v>
      </c>
      <c r="BE18" s="899">
        <f t="shared" si="4"/>
        <v>0</v>
      </c>
      <c r="BF18" s="899">
        <f t="shared" si="4"/>
        <v>0</v>
      </c>
      <c r="BG18" s="899">
        <f>IF(ISNUMBER(Datos!K18/Datos!J18),Datos!K18/Datos!J18," - ")</f>
        <v>1.0893470790378006</v>
      </c>
      <c r="BH18" s="903">
        <f>IF(ISNUMBER(((Datos!L18/Datos!K18)*11)/factor_trimestre),((Datos!L18/Datos!K18)*11)/factor_trimestre," - ")</f>
        <v>3.0283911671924288</v>
      </c>
      <c r="BI18" s="899">
        <f>SUBTOTAL(9,BI15:BI17)</f>
        <v>0.26482799525504153</v>
      </c>
      <c r="BJ18" s="899">
        <f>SUBTOTAL(9,BJ15:BJ17)</f>
        <v>0</v>
      </c>
      <c r="BK18" s="899">
        <f>SUBTOTAL(9,BK15:BK17)</f>
        <v>0</v>
      </c>
      <c r="BL18" s="899">
        <f>IF(ISNUMBER((I18-AB18+L18)/(F18)),(I18-AB18+L18)/(F18)," - ")</f>
        <v>-0.95770392749244715</v>
      </c>
      <c r="BM18" s="905">
        <f>IF(ISNUMBER((Datos!P18-Datos!Q18)/(Datos!R18-Datos!P18+Datos!Q18)),(Datos!P18-Datos!Q18)/(Datos!R18-Datos!P18+Datos!Q18)," - ")</f>
        <v>0.36170212765957449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333</v>
      </c>
      <c r="G19" s="820">
        <f t="shared" si="6"/>
        <v>346</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318</v>
      </c>
      <c r="AC19" s="821">
        <f t="shared" si="7"/>
        <v>98</v>
      </c>
      <c r="AD19" s="821">
        <f t="shared" si="7"/>
        <v>0</v>
      </c>
      <c r="AE19" s="821">
        <f t="shared" si="7"/>
        <v>0</v>
      </c>
      <c r="AF19" s="828">
        <f t="shared" si="7"/>
        <v>322</v>
      </c>
      <c r="AG19" s="828">
        <f t="shared" si="7"/>
        <v>0</v>
      </c>
      <c r="AH19" s="828">
        <f t="shared" si="7"/>
        <v>9</v>
      </c>
      <c r="AI19" s="828">
        <f t="shared" si="7"/>
        <v>0</v>
      </c>
      <c r="AJ19" s="821">
        <f t="shared" si="7"/>
        <v>0</v>
      </c>
      <c r="AK19" s="828">
        <f t="shared" si="7"/>
        <v>0</v>
      </c>
      <c r="AL19" s="828">
        <f t="shared" si="7"/>
        <v>0</v>
      </c>
      <c r="AM19" s="828">
        <f t="shared" si="7"/>
        <v>1245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174</v>
      </c>
      <c r="BD19" s="820">
        <f t="shared" si="7"/>
        <v>292</v>
      </c>
      <c r="BE19" s="820">
        <f t="shared" si="7"/>
        <v>0</v>
      </c>
      <c r="BF19" s="830">
        <f t="shared" si="7"/>
        <v>0</v>
      </c>
      <c r="BG19" s="915">
        <f>IF(ISNUMBER(Datos!K19/Datos!J19),Datos!K19/Datos!J19," - ")</f>
        <v>1.0736000000000001</v>
      </c>
      <c r="BH19" s="915">
        <f>IF(ISNUMBER(((Datos!L19/Datos!K19)*11)/factor_trimestre),((Datos!L19/Datos!K19)*11)/factor_trimestre," - ")</f>
        <v>3.9701937406855436</v>
      </c>
      <c r="BI19" s="813">
        <f>IF(ISNUMBER(Datos!J19/Datos!I19),Datos!J19/Datos!I19," - ")</f>
        <v>0.67060085836909866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-0.95495495495495497</v>
      </c>
      <c r="BM19" s="889">
        <f>IF(ISNUMBER((Datos!P19-Datos!Q19+R19)/(Datos!R19-Datos!P19+Datos!Q19-R19)),(Datos!P19-Datos!Q19+R19)/(Datos!R19-Datos!P19+Datos!Q19-R19)," - ")</f>
        <v>3.5773710482529121E-2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189.94823856338689</v>
      </c>
      <c r="G21" s="552">
        <f>IF(ISNUMBER(STDEV(G8:G18)),STDEV(G8:G18),"-")</f>
        <v>180.99530380648002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157.99430369478515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53.182703955327433</v>
      </c>
      <c r="BD21" s="551"/>
      <c r="BE21" s="551">
        <f>IF(ISNUMBER(STDEV(BE8:BE18)),STDEV(BE8:BE18),"-")</f>
        <v>0</v>
      </c>
      <c r="BF21" s="556">
        <f>IF(ISNUMBER(STDEV(BF8:BF18)),STDEV(BF8:BF18),"-")</f>
        <v>0</v>
      </c>
      <c r="BG21" s="775">
        <f>IF(ISNUMBER(STDEV(BG8:BG18)),STDEV(BG8:BG18),"-")</f>
        <v>4.2502333165885309E-2</v>
      </c>
      <c r="BH21" s="776">
        <f>IF(ISNUMBER(STDEV(BH8:BH18)),STDEV(BH8:BH18),"-")</f>
        <v>1.786553922604678</v>
      </c>
      <c r="BI21" s="249">
        <f>IF(ISNUMBER(STDEV(BI8:BI18)),STDEV(BI8:BI18),"-")</f>
        <v>0.10692665193473776</v>
      </c>
      <c r="BJ21" s="230" t="str">
        <f>IF(ISNUMBER(BL21/BM21),BL21/BM21," - ")</f>
        <v xml:space="preserve"> - </v>
      </c>
      <c r="BK21" s="575"/>
      <c r="BL21" s="559">
        <f>IF(ISNUMBER(STDEV(BL8:BL18)),STDEV(BL8:BL18),"-")</f>
        <v>0.32364555090562519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L22CK5qVGhEPHjp6vvbzP7NtSF69YIf8IAy692Ftkgd6+7RLxgzfGy210dOKAvzK8p2ONSpJ3JqHNSzZAJTPA==" saltValue="pJSOCE46RNaQXhHGNkyc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FRAGA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86</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120</v>
      </c>
      <c r="AK12" s="229">
        <f>IF(ISNUMBER(Datos!N12),Datos!N12," - ")</f>
        <v>132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4.7651933701657461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2.2510822510822513E-2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86</v>
      </c>
      <c r="AA13" s="900">
        <f t="shared" si="2"/>
        <v>2</v>
      </c>
      <c r="AB13" s="900">
        <f t="shared" si="2"/>
        <v>0</v>
      </c>
      <c r="AC13" s="900">
        <f t="shared" si="2"/>
        <v>0</v>
      </c>
      <c r="AD13" s="900">
        <f t="shared" si="2"/>
        <v>0</v>
      </c>
      <c r="AE13" s="900">
        <f t="shared" si="2"/>
        <v>1181</v>
      </c>
      <c r="AF13" s="908">
        <f t="shared" si="2"/>
        <v>0</v>
      </c>
      <c r="AG13" s="908">
        <f t="shared" si="2"/>
        <v>0</v>
      </c>
      <c r="AH13" s="908">
        <f t="shared" si="2"/>
        <v>0</v>
      </c>
      <c r="AI13" s="908">
        <f t="shared" si="2"/>
        <v>0</v>
      </c>
      <c r="AJ13" s="908">
        <f t="shared" si="2"/>
        <v>120</v>
      </c>
      <c r="AK13" s="908">
        <f t="shared" si="2"/>
        <v>133</v>
      </c>
      <c r="AL13" s="908">
        <f t="shared" si="2"/>
        <v>0</v>
      </c>
      <c r="AM13" s="908">
        <f t="shared" si="2"/>
        <v>0</v>
      </c>
      <c r="AN13" s="908">
        <f t="shared" si="2"/>
        <v>0</v>
      </c>
      <c r="AO13" s="904">
        <f>IF(ISNUMBER(((NºAsuntos!I13/NºAsuntos!G13)*11)/factor_trimestre),((NºAsuntos!I13/NºAsuntos!G13)*11)/factor_trimestre," - ")</f>
        <v>4.7685950413223139</v>
      </c>
      <c r="AP13" s="910" t="str">
        <f>IF(ISNUMBER(Datos!CI13/Datos!CJ13),Datos!CI13/Datos!CJ13," - ")</f>
        <v xml:space="preserve"> - </v>
      </c>
      <c r="AQ13" s="928">
        <f t="shared" ref="AQ13:AV13" si="3">SUBTOTAL(9,AQ9:AQ12)</f>
        <v>0</v>
      </c>
      <c r="AR13" s="928">
        <f t="shared" si="3"/>
        <v>2.2510822510822513E-2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331</v>
      </c>
      <c r="G16" s="225">
        <f>IF(ISNUMBER(IF(D_I="SI",Datos!I16,Datos!I16+Datos!AC16)),IF(D_I="SI",Datos!I16,Datos!I16+Datos!AC16)," - ")</f>
        <v>329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281</v>
      </c>
      <c r="Z16" s="619">
        <f>IF(ISNUMBER(Datos!Q16),Datos!Q16," - ")</f>
        <v>12</v>
      </c>
      <c r="AA16" s="332">
        <f>IF(ISNUMBER(IF(D_I="SI",Datos!L16,Datos!L16+Datos!AF16)),IF(D_I="SI",Datos!L16,Datos!L16+Datos!AF16)," - ")</f>
        <v>309</v>
      </c>
      <c r="AB16" s="334"/>
      <c r="AC16" s="334"/>
      <c r="AD16" s="484"/>
      <c r="AE16" s="484">
        <f>IF(ISNUMBER(Datos!R16),Datos!R16," - ")</f>
        <v>64</v>
      </c>
      <c r="AF16" s="229" t="str">
        <f>IF(ISNUMBER(Datos!BV16),Datos!BV16," - ")</f>
        <v xml:space="preserve"> - </v>
      </c>
      <c r="AG16" s="225"/>
      <c r="AH16" s="298"/>
      <c r="AI16" s="227"/>
      <c r="AJ16" s="225">
        <f>IF(ISNUMBER(Datos!M16),Datos!M16," - ")</f>
        <v>51</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3.2989323843416369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0.91666666666666685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331</v>
      </c>
      <c r="G18" s="898">
        <f>SUBTOTAL(9,G15:G17)</f>
        <v>344</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317</v>
      </c>
      <c r="Z18" s="932">
        <f t="shared" si="5"/>
        <v>12</v>
      </c>
      <c r="AA18" s="932">
        <f t="shared" si="5"/>
        <v>320</v>
      </c>
      <c r="AB18" s="932">
        <f t="shared" si="5"/>
        <v>0</v>
      </c>
      <c r="AC18" s="932">
        <f t="shared" si="5"/>
        <v>0</v>
      </c>
      <c r="AD18" s="932">
        <f t="shared" si="5"/>
        <v>0</v>
      </c>
      <c r="AE18" s="932">
        <f t="shared" si="5"/>
        <v>64</v>
      </c>
      <c r="AF18" s="932">
        <f t="shared" si="5"/>
        <v>0</v>
      </c>
      <c r="AG18" s="932">
        <f t="shared" si="5"/>
        <v>0</v>
      </c>
      <c r="AH18" s="932">
        <f t="shared" si="5"/>
        <v>0</v>
      </c>
      <c r="AI18" s="932">
        <f t="shared" si="5"/>
        <v>0</v>
      </c>
      <c r="AJ18" s="932">
        <f t="shared" si="5"/>
        <v>54</v>
      </c>
      <c r="AK18" s="932">
        <f t="shared" si="5"/>
        <v>159</v>
      </c>
      <c r="AL18" s="932">
        <f t="shared" si="5"/>
        <v>0</v>
      </c>
      <c r="AM18" s="932">
        <f t="shared" si="5"/>
        <v>0</v>
      </c>
      <c r="AN18" s="932">
        <f t="shared" si="5"/>
        <v>0</v>
      </c>
      <c r="AO18" s="934">
        <f>IF(ISNUMBER(((NºAsuntos!I18/NºAsuntos!G18)*11)/factor_trimestre),((NºAsuntos!I18/NºAsuntos!G18)*11)/factor_trimestre," - ")</f>
        <v>3.0283911671924288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333</v>
      </c>
      <c r="G19" s="820">
        <f t="shared" si="7"/>
        <v>346</v>
      </c>
      <c r="H19" s="821">
        <f t="shared" si="7"/>
        <v>0</v>
      </c>
      <c r="I19" s="820">
        <f t="shared" si="7"/>
        <v>0</v>
      </c>
      <c r="J19" s="822">
        <f t="shared" si="7"/>
        <v>0</v>
      </c>
      <c r="K19" s="820">
        <f t="shared" si="7"/>
        <v>0</v>
      </c>
      <c r="L19" s="823">
        <f t="shared" si="7"/>
        <v>0</v>
      </c>
      <c r="M19" s="820">
        <f t="shared" si="7"/>
        <v>0</v>
      </c>
      <c r="N19" s="821">
        <f t="shared" si="7"/>
        <v>141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318</v>
      </c>
      <c r="Z19" s="827">
        <f t="shared" si="8"/>
        <v>98</v>
      </c>
      <c r="AA19" s="828">
        <f t="shared" si="8"/>
        <v>322</v>
      </c>
      <c r="AB19" s="828">
        <f t="shared" si="8"/>
        <v>0</v>
      </c>
      <c r="AC19" s="828">
        <f t="shared" si="8"/>
        <v>0</v>
      </c>
      <c r="AD19" s="829">
        <f t="shared" si="8"/>
        <v>0</v>
      </c>
      <c r="AE19" s="829">
        <f t="shared" si="8"/>
        <v>1245</v>
      </c>
      <c r="AF19" s="830">
        <f t="shared" si="8"/>
        <v>0</v>
      </c>
      <c r="AG19" s="831">
        <f t="shared" si="8"/>
        <v>0</v>
      </c>
      <c r="AH19" s="832">
        <f t="shared" si="8"/>
        <v>0</v>
      </c>
      <c r="AI19" s="830">
        <f t="shared" si="8"/>
        <v>0</v>
      </c>
      <c r="AJ19" s="820">
        <f t="shared" si="8"/>
        <v>174</v>
      </c>
      <c r="AK19" s="820">
        <f t="shared" si="8"/>
        <v>292</v>
      </c>
      <c r="AL19" s="820">
        <f t="shared" si="8"/>
        <v>0</v>
      </c>
      <c r="AM19" s="833">
        <f t="shared" si="8"/>
        <v>0</v>
      </c>
      <c r="AN19" s="823">
        <f>IF(ISNUMBER(Datos!K19/Datos!J19),Datos!K19/Datos!J19," - ")</f>
        <v>1.0736000000000001</v>
      </c>
      <c r="AO19" s="823">
        <f>IF(ISNUMBER(FIND("06",Criterios!A8,1)),(IF(ISNUMBER(((Datos!R19/Datos!Q19)*11)/factor_trimestre),((Datos!R19/Datos!Q19)*11)/factor_trimestre," - ")),(IF(ISNUMBER(((Datos!L19/Datos!K19)*11)/factor_trimestre),((Datos!L19/Datos!K19)*11)/factor_trimestre," - ")))</f>
        <v>3.9701937406855436</v>
      </c>
      <c r="AP19" s="834" t="str">
        <f>IF(ISNUMBER(Datos!CI19/Datos!CJ19),Datos!CI19/Datos!CJ19," - ")</f>
        <v xml:space="preserve"> - </v>
      </c>
      <c r="AQ19" s="834">
        <f>IF(OR(ISNUMBER(FIND("01",Criterios!A8,1)),ISNUMBER(FIND("02",Criterios!A8,1)),ISNUMBER(FIND("03",Criterios!A8,1)),ISNUMBER(FIND("04",Criterios!A8,1))),(J19-Y19+K19)/(F19-K19),(I19-Y19+K19)/(F19-K19))</f>
        <v>-0.95495495495495497</v>
      </c>
      <c r="AR19" s="834">
        <f>IF(ISNUMBER((Datos!P19-Datos!Q19+O19)/(Datos!R19-Datos!P19+Datos!Q19-O19)),(Datos!P19-Datos!Q19+O19)/(Datos!R19-Datos!P19+Datos!Q19-O19)," - ")</f>
        <v>3.5773710482529121E-2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189.94823856338689</v>
      </c>
      <c r="G21" s="552">
        <f>IF(ISNUMBER(STDEV(G8:G18)),STDEV(G8:G18),"-")</f>
        <v>180.99530380648002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53.182703955327433</v>
      </c>
      <c r="AK21" s="252"/>
      <c r="AL21" s="252">
        <f>IF(ISNUMBER(STDEV(AL8:AL18)),STDEV(AL8:AL18),"-")</f>
        <v>0</v>
      </c>
      <c r="AM21" s="254">
        <f>IF(ISNUMBER(STDEV(AM8:AM18)),STDEV(AM8:AM18),"-")</f>
        <v>0</v>
      </c>
      <c r="AN21" s="539">
        <f>IF(ISNUMBER(STDEV(AN8:AN18)),STDEV(AN8:AN18),"-")</f>
        <v>0</v>
      </c>
      <c r="AO21" s="540">
        <f>IF(ISNUMBER(STDEV(AO8:AO18)),STDEV(AO8:AO18),"-")</f>
        <v>1.7815584388455519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QHhDaR70eA//AJ3P+f1DyZI7Y2aFUh4pRXeY4/FZQErd8vIRzEGq8pySUnJPqknrfpURJUc9wh2ACZ2BnR/5w==" saltValue="GqAAkjRR+ZuXHrE77dyE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uNkZdmrgBklgfx8/7ggKY6JxVTbt0BPMLjq55ZigKqA3JvJETLZ4Sz+C6N1HFUkG+jvHkM4eDKKKnyvy5fW7w==" saltValue="JwMFWrsbEDAj9O5/UQnO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t6GNc3cfXwddfmFgFaTTa4FCmolNIN5i/CUU154MYEFQkZsAR1o30IWotO0vbUAV0a1D50tKwF8dZJAjYwwg==" saltValue="s/NyNCSVOTEReSyOs5Ao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0.33057851239669422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0.23375430783026366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77mLtyYqICb6I6RLT0toQkbEoM37apWX/as6YXA/PS6YKK74ta880tKNB1xM8lcNtGqDNIrd+Wgr2PDs+XK7g==" saltValue="aoWyke7LAfKENokqq4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I0EUqE3x3ccZact/J9zMLBAllxbsGfGj5XqBdpe0Yzx3br8XTdyDjN0+SEBtsPVPmEg05i/apTQPSqWpCczUA==" saltValue="NBZQi9aA8sAtx18/YRX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FRAGA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4.7651933701657461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2.2510822510822513E-2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86</v>
      </c>
      <c r="AE13" s="939">
        <f t="shared" si="1"/>
        <v>0</v>
      </c>
      <c r="AF13" s="939">
        <f t="shared" si="1"/>
        <v>2</v>
      </c>
      <c r="AG13" s="939">
        <f t="shared" si="1"/>
        <v>0</v>
      </c>
      <c r="AH13" s="939">
        <f t="shared" si="1"/>
        <v>1181</v>
      </c>
      <c r="AI13" s="939">
        <f t="shared" si="1"/>
        <v>0</v>
      </c>
      <c r="AJ13" s="939">
        <f t="shared" si="1"/>
        <v>0</v>
      </c>
      <c r="AK13" s="939">
        <f t="shared" si="1"/>
        <v>0</v>
      </c>
      <c r="AL13" s="939">
        <f t="shared" si="1"/>
        <v>120</v>
      </c>
      <c r="AM13" s="939">
        <f t="shared" si="1"/>
        <v>133</v>
      </c>
      <c r="AN13" s="939">
        <f t="shared" si="1"/>
        <v>0</v>
      </c>
      <c r="AO13" s="939">
        <f t="shared" si="1"/>
        <v>0</v>
      </c>
      <c r="AP13" s="944">
        <f>IF(ISNUMBER(((Datos!L13/Datos!K13)*11)/factor_trimestre),((Datos!L13/Datos!K13)*11)/factor_trimestre," - ")</f>
        <v>4.8135593220338988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2.2510822510822513E-2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3.0283911671924288</v>
      </c>
      <c r="AQ18" s="944">
        <f>IF(ISNUMBER(((Datos!M18/Datos!L18)*11)/factor_trimestre),((Datos!M18/Datos!L18)*11)/factor_trimestre," - ")</f>
        <v>0.50625000000000009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0.36170212765957449</v>
      </c>
      <c r="AW18" s="946">
        <f>IF(ISNUMBER((Datos!Q18-Datos!R18)/(Datos!S18-Datos!Q18+Datos!R18)),(Datos!Q18-Datos!R18)/(Datos!S18-Datos!Q18+Datos!R18)," - ")</f>
        <v>-0.12621359223300971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86</v>
      </c>
      <c r="AE19" s="957">
        <f t="shared" si="5"/>
        <v>0</v>
      </c>
      <c r="AF19" s="958">
        <f t="shared" si="5"/>
        <v>2</v>
      </c>
      <c r="AG19" s="958">
        <f t="shared" si="5"/>
        <v>0</v>
      </c>
      <c r="AH19" s="958">
        <f t="shared" si="5"/>
        <v>1181</v>
      </c>
      <c r="AI19" s="958">
        <f t="shared" si="5"/>
        <v>0</v>
      </c>
      <c r="AJ19" s="959">
        <f t="shared" si="5"/>
        <v>0</v>
      </c>
      <c r="AK19" s="959">
        <f t="shared" si="5"/>
        <v>0</v>
      </c>
      <c r="AL19" s="951">
        <f t="shared" si="5"/>
        <v>120</v>
      </c>
      <c r="AM19" s="951">
        <f t="shared" si="5"/>
        <v>133</v>
      </c>
      <c r="AN19" s="951">
        <f t="shared" si="5"/>
        <v>0</v>
      </c>
      <c r="AO19" s="951">
        <f t="shared" si="5"/>
        <v>0</v>
      </c>
      <c r="AP19" s="951">
        <f>IF(ISNUMBER(((Datos!L19/Datos!K19)*11)/factor_trimestre),((Datos!L19/Datos!K19)*11)/factor_trimestre," - ")</f>
        <v>3.9701937406855436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3.5773710482529121E-2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69.282032302755098</v>
      </c>
      <c r="AM21" s="736"/>
      <c r="AN21" s="736">
        <f>IF(ISNUMBER(STDEV(AN8:AN18)),STDEV(AN8:AN18),"-")</f>
        <v>0</v>
      </c>
      <c r="AO21" s="742">
        <f>IF(ISNUMBER(STDEV(AO8:AO18)),STDEV(AO8:AO18),"-")</f>
        <v>0</v>
      </c>
      <c r="AP21" s="779">
        <f>IF(ISNUMBER(STDEV(AP8:AP18)),STDEV(AP8:AP18),"-")</f>
        <v>1.2236725613649146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qlUOFobU1zAL71dUgv8baRW9NQVWGI9/3iB6C3EZMhfKnxMIjkCUZlvTiUMP/CWQXnbD3M8/SV1PrvAQL7quQ==" saltValue="I0kGl4sas49isdXr1+Ok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